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5_南河内\"/>
    </mc:Choice>
  </mc:AlternateContent>
  <xr:revisionPtr revIDLastSave="0" documentId="13_ncr:1_{D17F5171-352D-407D-9C66-FD5FAD53876F}"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別紙3自施設で対応しないもの!$A$1:$M$24</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<sst xmlns="http://schemas.openxmlformats.org/spreadsheetml/2006/main" count="3875" uniqueCount="1900">
  <si>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</si>
  <si>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</si>
  <si>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</si>
  <si>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</si>
  <si>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</si>
  <si>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</si>
  <si>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</si>
  <si>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</si>
  <si>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</si>
  <si>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</si>
  <si>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</si>
  <si>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</si>
  <si>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</si>
  <si>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</si>
  <si>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</si>
  <si>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</si>
  <si>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</si>
  <si>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</si>
  <si>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</si>
  <si>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</si>
  <si>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</si>
  <si>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</si>
  <si>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</si>
  <si>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</si>
  <si>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</si>
  <si>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</si>
  <si>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</si>
  <si>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</si>
  <si>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</si>
  <si>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</si>
  <si>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</si>
  <si>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</si>
  <si>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</si>
  <si>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</si>
  <si>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</si>
  <si>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</si>
  <si>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</si>
  <si>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</si>
  <si>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</si>
  <si>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</si>
  <si>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</si>
  <si>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</si>
  <si>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</si>
  <si>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</si>
  <si>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</si>
  <si>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</si>
  <si>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</si>
  <si>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</si>
  <si>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</si>
  <si>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</si>
  <si>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</si>
  <si>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</si>
  <si>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</si>
  <si>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</si>
  <si>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</si>
  <si>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</si>
  <si>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</si>
  <si>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</si>
  <si>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</si>
  <si>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</si>
  <si>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</si>
  <si>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</si>
  <si>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</si>
  <si>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</si>
  <si>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</si>
  <si>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</si>
  <si>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</si>
  <si>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</si>
  <si>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</si>
  <si>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</si>
  <si>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</si>
  <si>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</si>
  <si>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</si>
  <si>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</si>
  <si>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</si>
  <si>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</si>
  <si>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</si>
  <si>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</si>
  <si>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</si>
  <si>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</si>
  <si>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</si>
  <si>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</si>
  <si>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</si>
  <si>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</si>
  <si>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</si>
  <si>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</si>
  <si>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</si>
  <si>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</si>
  <si>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</si>
  <si>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</si>
  <si>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</si>
  <si>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</si>
  <si>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</si>
  <si>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</si>
  <si>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</si>
  <si>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</si>
  <si>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</si>
  <si>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</si>
  <si>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</si>
  <si>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</si>
  <si>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</si>
  <si>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</si>
  <si>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</si>
  <si>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</si>
  <si>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</si>
  <si>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</si>
  <si>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</si>
  <si>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</si>
  <si>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</si>
  <si>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</si>
  <si>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</si>
  <si>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</si>
  <si>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</si>
  <si>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</si>
  <si>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</si>
  <si>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</si>
  <si>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</si>
  <si>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</si>
  <si>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</si>
  <si>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</si>
  <si>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</si>
  <si>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</si>
  <si>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</si>
  <si>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</si>
  <si>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</si>
  <si>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</si>
  <si>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</si>
  <si>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</si>
  <si>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</si>
  <si>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</si>
  <si>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</si>
  <si>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</si>
  <si>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</si>
  <si>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</si>
  <si>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</si>
  <si>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</si>
  <si>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</si>
  <si>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</si>
  <si>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</si>
  <si>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</si>
  <si>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</si>
  <si>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</si>
  <si>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</si>
  <si>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</si>
  <si>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</si>
  <si>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</si>
  <si>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</si>
  <si>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</si>
  <si>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</si>
  <si>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</si>
  <si>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</si>
  <si>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</si>
  <si>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</si>
  <si>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</si>
  <si>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</si>
  <si>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</si>
  <si>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</si>
  <si>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</si>
  <si>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</si>
  <si>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</si>
  <si>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</si>
  <si>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</si>
  <si>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</si>
  <si>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</si>
  <si>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</si>
  <si>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</si>
  <si>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</si>
  <si>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</si>
  <si>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</si>
  <si>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</si>
  <si>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</si>
  <si>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</si>
  <si>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</si>
  <si>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</si>
  <si>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</si>
  <si>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</si>
  <si>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</si>
  <si>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</si>
  <si>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</si>
  <si>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</si>
  <si>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</si>
  <si>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</si>
  <si>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</si>
  <si>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</si>
  <si>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</si>
  <si>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</si>
  <si>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</si>
  <si>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</si>
  <si>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</si>
  <si>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</si>
  <si>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</si>
  <si>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</si>
  <si>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</si>
  <si>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</si>
  <si>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</si>
  <si>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</si>
  <si>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</si>
  <si>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</si>
  <si>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</si>
  <si>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</si>
  <si>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</si>
  <si>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</si>
  <si>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</si>
  <si>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</si>
  <si>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</si>
  <si>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</si>
  <si>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</si>
  <si>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</si>
  <si>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</si>
  <si>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</si>
  <si>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</si>
  <si>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</si>
  <si>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</si>
  <si>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</si>
  <si>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</si>
  <si>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</si>
  <si>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</si>
  <si>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</si>
  <si>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</si>
  <si>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</si>
  <si>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</si>
  <si>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</si>
  <si>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</si>
  <si>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</si>
  <si>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</si>
  <si>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</si>
  <si>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</si>
  <si>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</si>
  <si>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</si>
  <si>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</si>
  <si>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</si>
  <si>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</si>
  <si>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</si>
  <si>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</si>
  <si>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</si>
  <si>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</si>
  <si>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</si>
  <si>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</si>
  <si>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</si>
  <si>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</si>
  <si>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</si>
  <si>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</si>
  <si>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</si>
  <si>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</si>
  <si>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</si>
  <si>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</si>
  <si>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</si>
  <si>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</si>
  <si>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</si>
  <si>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</si>
  <si>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</si>
  <si>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</si>
  <si>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</si>
  <si>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</si>
  <si>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</si>
  <si>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</si>
  <si>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</si>
  <si>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</si>
  <si>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</si>
  <si>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</si>
  <si>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</si>
  <si>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</si>
  <si>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</si>
  <si>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</si>
  <si>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</si>
  <si>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</si>
  <si>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</si>
  <si>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</si>
  <si>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</si>
  <si>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</si>
  <si>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</si>
  <si>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</si>
  <si>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</si>
  <si>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</si>
  <si>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</si>
  <si>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</si>
  <si>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</si>
  <si>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</si>
  <si>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</si>
  <si>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</si>
  <si>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</si>
  <si>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</si>
  <si>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</si>
  <si>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</si>
  <si>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</si>
  <si>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</si>
  <si>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</si>
  <si>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</si>
  <si>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</si>
  <si>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</si>
  <si>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</si>
  <si>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</si>
  <si>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</si>
  <si>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</si>
  <si>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</si>
  <si>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</si>
  <si>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</si>
  <si>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</si>
  <si>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</si>
  <si>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</si>
  <si>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</si>
  <si>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</si>
  <si>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</si>
  <si>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</si>
  <si>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</si>
  <si>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</si>
  <si>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</si>
  <si>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</si>
  <si>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</si>
  <si>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</si>
  <si>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</si>
  <si>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</si>
  <si>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</si>
  <si>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</si>
  <si>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</si>
  <si>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</si>
  <si>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</si>
  <si>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</si>
  <si>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</si>
  <si>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</si>
  <si>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</si>
  <si>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</si>
  <si>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</si>
  <si>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</si>
  <si>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</si>
  <si>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</si>
  <si>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</si>
  <si>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</si>
  <si>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</si>
  <si>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</si>
  <si>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</si>
  <si>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</si>
  <si>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</si>
  <si>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</si>
  <si>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</si>
  <si>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</si>
  <si>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</si>
  <si>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</si>
  <si>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</si>
  <si>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</si>
  <si>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</si>
  <si>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</si>
  <si>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</si>
  <si>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</si>
  <si>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</si>
  <si>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</si>
  <si>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</si>
  <si>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</si>
  <si>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</si>
  <si>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</si>
  <si>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</si>
  <si>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</si>
  <si>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</si>
  <si>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</si>
  <si>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</si>
  <si>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</si>
  <si>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</si>
  <si>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</si>
  <si>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</si>
  <si>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</si>
  <si>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</si>
  <si>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</si>
  <si>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</si>
  <si>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</si>
  <si>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</si>
  <si>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</si>
  <si>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</si>
  <si>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</si>
  <si>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</si>
  <si>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</si>
  <si>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</si>
  <si>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</si>
  <si>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</si>
  <si>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</si>
  <si>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</si>
  <si>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</si>
  <si>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</si>
  <si>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</si>
  <si>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</si>
  <si>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</si>
  <si>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</si>
  <si>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</si>
  <si>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</si>
  <si>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</si>
  <si>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</si>
  <si>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</si>
  <si>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</si>
  <si>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</si>
  <si>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</si>
  <si>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</si>
  <si>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</si>
  <si>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</si>
  <si>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</si>
  <si>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</si>
  <si>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</si>
  <si>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</si>
  <si>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</si>
  <si>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</si>
  <si>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</si>
  <si>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</si>
  <si>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</si>
  <si>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</si>
  <si>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</si>
  <si>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</si>
  <si>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</si>
  <si>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</si>
  <si>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</si>
  <si>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</si>
  <si>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</si>
  <si>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</si>
  <si>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</si>
  <si>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</si>
  <si>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</si>
  <si>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</si>
  <si>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</si>
  <si>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</si>
  <si>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</si>
  <si>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</si>
  <si>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</si>
  <si>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</si>
  <si>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</si>
  <si>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</si>
  <si>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</si>
  <si>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</si>
  <si>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</si>
  <si>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</si>
  <si>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</si>
  <si>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</si>
  <si>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</si>
  <si>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</si>
  <si>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</si>
  <si>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</si>
  <si>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</si>
  <si>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</si>
  <si>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</si>
  <si>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</si>
  <si>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</si>
  <si>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</si>
  <si>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</si>
  <si>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</si>
  <si>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</si>
  <si>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</si>
  <si>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</si>
  <si>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</si>
  <si>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</si>
  <si>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</si>
  <si>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</si>
  <si>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</si>
  <si>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</si>
  <si>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</si>
  <si>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</si>
  <si>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</si>
  <si>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</si>
  <si>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</si>
  <si>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</si>
  <si>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</si>
  <si>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</si>
  <si>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</si>
  <si>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</si>
  <si>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</si>
  <si>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</si>
  <si>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</si>
  <si>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</si>
  <si>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</si>
  <si>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</si>
  <si>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</si>
  <si>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</si>
  <si>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</si>
  <si>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</si>
  <si>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</si>
  <si>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</si>
  <si>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</si>
  <si>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</si>
  <si>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</si>
  <si>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</si>
  <si>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</si>
  <si>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</si>
  <si>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</si>
  <si>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</si>
  <si>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</si>
  <si>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</si>
  <si>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</si>
  <si>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</si>
  <si>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</si>
  <si>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</si>
  <si>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</si>
  <si>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</si>
  <si>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</si>
  <si>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</si>
  <si>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</si>
  <si>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</si>
  <si>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</si>
  <si>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</si>
  <si>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</si>
  <si>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</si>
  <si>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</si>
  <si>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</si>
  <si>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</si>
  <si>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</si>
  <si>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</si>
  <si>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</si>
  <si>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</si>
  <si>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</si>
  <si>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</si>
  <si>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</si>
  <si>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</si>
  <si>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</si>
  <si>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</si>
  <si>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</si>
  <si>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</si>
  <si>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</si>
  <si>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</si>
  <si>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</si>
  <si>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</si>
  <si>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</si>
  <si>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</si>
  <si>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</si>
  <si>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</si>
  <si>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</si>
  <si>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</si>
  <si>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</si>
  <si>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</si>
  <si>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</si>
  <si>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</si>
  <si>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</si>
  <si>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</si>
  <si>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</si>
  <si>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</si>
  <si>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</si>
  <si>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</si>
  <si>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</si>
  <si>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</si>
  <si>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</si>
  <si>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</si>
  <si>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</si>
  <si>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</si>
  <si>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</si>
  <si>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</si>
  <si>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</si>
  <si>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</si>
  <si>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</si>
  <si>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</si>
  <si>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</si>
  <si>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</si>
  <si>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</si>
  <si>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</si>
  <si>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</si>
  <si>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</si>
  <si>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</si>
  <si>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</si>
  <si>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</si>
  <si>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</si>
  <si>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</si>
  <si>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</si>
  <si>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</si>
  <si>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</si>
  <si>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</si>
  <si>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</si>
  <si>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</si>
  <si>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</si>
  <si>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</si>
  <si>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</si>
  <si>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</si>
  <si>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</si>
  <si>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</si>
  <si>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</si>
  <si>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</si>
  <si>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</si>
  <si>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</si>
  <si>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</si>
  <si>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</si>
  <si>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</si>
  <si>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</si>
  <si>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</si>
  <si>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</si>
  <si>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</si>
  <si>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</si>
  <si>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</si>
  <si>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</si>
  <si>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</si>
  <si>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</si>
  <si>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</si>
  <si>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</si>
  <si>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</si>
  <si>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</si>
  <si>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</si>
  <si>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</si>
  <si>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</si>
  <si>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</si>
  <si>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</si>
  <si>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</si>
  <si>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</si>
  <si>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</si>
  <si>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</si>
  <si>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</si>
  <si>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</si>
  <si>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</si>
  <si>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</si>
  <si>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</si>
  <si>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</si>
  <si>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</si>
  <si>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</si>
  <si>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</si>
  <si>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</si>
  <si>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</si>
  <si>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</si>
  <si>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</si>
  <si>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</si>
  <si>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</si>
  <si>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</si>
  <si>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</si>
  <si>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</si>
  <si>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</si>
  <si>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</si>
  <si>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</si>
  <si>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</si>
  <si>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</si>
  <si>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</si>
  <si>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</si>
  <si>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</si>
  <si>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</si>
  <si>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</si>
  <si>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</si>
  <si>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</si>
  <si>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</si>
  <si>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</si>
  <si>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</si>
  <si>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</si>
  <si>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</si>
  <si>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</si>
  <si>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</si>
  <si>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</si>
  <si>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</si>
  <si>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</si>
  <si>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</si>
  <si>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</si>
  <si>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</si>
  <si>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</si>
  <si>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</si>
  <si>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</si>
  <si>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</si>
  <si>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</si>
  <si>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</si>
  <si>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</si>
  <si>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</si>
  <si>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</si>
  <si>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</si>
  <si>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</si>
  <si>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</si>
  <si>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</si>
  <si>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</si>
  <si>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</si>
  <si>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</si>
  <si>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</si>
  <si>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</si>
  <si>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</si>
  <si>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</si>
  <si>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</si>
  <si>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</si>
  <si>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</si>
  <si>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</si>
  <si>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</si>
  <si>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</si>
  <si>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</si>
  <si>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</si>
  <si>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</si>
  <si>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</si>
  <si>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</si>
  <si>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</si>
  <si>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</si>
  <si>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</si>
  <si>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</si>
  <si>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</si>
  <si>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</si>
  <si>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</si>
  <si>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</si>
  <si>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</si>
  <si>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</si>
  <si>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</si>
  <si>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</si>
  <si>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</si>
  <si>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</si>
  <si>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</si>
  <si>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</si>
  <si>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</si>
  <si>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</si>
  <si>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</si>
  <si>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</si>
  <si>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</si>
  <si>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</si>
  <si>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</si>
  <si>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</si>
  <si>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</si>
  <si>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</si>
  <si>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</si>
  <si>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</si>
  <si>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</si>
  <si>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</si>
  <si>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</si>
  <si>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</si>
  <si>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</si>
  <si>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</si>
  <si>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</si>
  <si>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</si>
  <si>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</si>
  <si>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</si>
  <si>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</si>
  <si>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</si>
  <si>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</si>
  <si>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</si>
  <si>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</si>
  <si>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</si>
  <si>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</si>
  <si>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</si>
  <si>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</si>
  <si>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</si>
  <si>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</si>
  <si>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</si>
  <si>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</si>
  <si>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</si>
  <si>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</si>
  <si>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</si>
  <si>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</si>
  <si>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</si>
  <si>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</si>
  <si>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</si>
  <si>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</si>
  <si>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</si>
  <si>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</si>
  <si>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</si>
  <si>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</si>
  <si>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</si>
  <si>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</si>
  <si>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</si>
  <si>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</si>
  <si>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</si>
  <si>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</si>
  <si>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</si>
  <si>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</si>
  <si>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</si>
  <si>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</si>
  <si>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</si>
  <si>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</si>
  <si>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</si>
  <si>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</si>
  <si>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</si>
  <si>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</si>
  <si>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</si>
  <si>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</si>
  <si>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</si>
  <si>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</si>
  <si>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</si>
  <si>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</si>
  <si>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</si>
  <si>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</si>
  <si>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</si>
  <si>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</si>
  <si>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</si>
  <si>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</si>
  <si>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</si>
  <si>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</si>
  <si>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</si>
  <si>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</si>
  <si>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</si>
  <si>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</si>
  <si>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</si>
  <si>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</si>
  <si>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</si>
  <si>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</si>
  <si>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</si>
  <si>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</si>
  <si>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</si>
  <si>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</si>
  <si>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</si>
  <si>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</si>
  <si>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</si>
  <si>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</si>
  <si>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</si>
  <si>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</si>
  <si>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</si>
  <si>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</si>
  <si>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</si>
  <si>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</si>
  <si>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</si>
  <si>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</si>
  <si>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</si>
  <si>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</si>
  <si>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</si>
  <si>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</si>
  <si>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</si>
  <si>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</si>
  <si>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</si>
  <si>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</si>
  <si>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</si>
  <si>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</si>
  <si>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</si>
  <si>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</si>
  <si>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</si>
  <si>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</si>
  <si>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</si>
  <si>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</si>
  <si>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</si>
  <si>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</si>
  <si>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</si>
  <si>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</si>
  <si>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</si>
  <si>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</si>
  <si>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</si>
  <si>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</si>
  <si>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</si>
  <si>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</si>
  <si>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</si>
  <si>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</si>
  <si>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</si>
  <si>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</si>
  <si>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</si>
  <si>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</si>
  <si>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</si>
  <si>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</si>
  <si>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</si>
  <si>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</si>
  <si>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</si>
  <si>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</si>
  <si>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</si>
  <si>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</si>
  <si>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</si>
  <si>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</si>
  <si>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</si>
  <si>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</si>
  <si>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</si>
  <si>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</si>
  <si>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</si>
  <si>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</si>
  <si>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</si>
  <si>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</si>
  <si>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</si>
  <si>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</si>
  <si>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</si>
  <si>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</si>
  <si>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</si>
  <si>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</si>
  <si>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</si>
  <si>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</si>
  <si>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</si>
  <si>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</si>
  <si>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</si>
  <si>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</si>
  <si>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</si>
  <si>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</si>
  <si>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</si>
  <si>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</si>
  <si>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</si>
  <si>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</si>
  <si>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</si>
  <si>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</si>
  <si>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</si>
  <si>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</si>
  <si>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</si>
  <si>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</si>
  <si>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</si>
  <si>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</si>
  <si>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</si>
  <si>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</si>
  <si>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</si>
  <si>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</si>
  <si>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</si>
  <si>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</si>
  <si>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</si>
  <si>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</si>
  <si>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</si>
  <si>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</si>
  <si>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</si>
  <si>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</si>
  <si>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</si>
  <si>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</si>
  <si>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</si>
  <si>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</si>
  <si>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</si>
  <si>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</si>
  <si>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</si>
  <si>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</si>
  <si>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</si>
  <si>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</si>
  <si>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</si>
  <si>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</si>
  <si>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</si>
  <si>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</si>
  <si>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</si>
  <si>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</si>
  <si>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</si>
  <si>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</si>
  <si>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</si>
  <si>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</si>
  <si>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</si>
  <si>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</si>
  <si>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</si>
  <si>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</si>
  <si>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</si>
  <si>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</si>
  <si>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</si>
  <si>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</si>
  <si>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</si>
  <si>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</si>
  <si>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</si>
  <si>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</si>
  <si>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</si>
  <si>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</si>
  <si>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</si>
  <si>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</si>
  <si>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</si>
  <si>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</si>
  <si>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</si>
  <si>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</si>
  <si>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</si>
  <si>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</si>
  <si>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</si>
  <si>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</si>
  <si>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</si>
  <si>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</si>
  <si>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</si>
  <si>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</si>
  <si>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</si>
  <si>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</si>
  <si>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</si>
  <si>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</si>
  <si>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</si>
  <si>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</si>
  <si>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</si>
  <si>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</si>
  <si>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</si>
  <si>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</si>
  <si>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</si>
  <si>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</si>
  <si>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</si>
  <si>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</si>
  <si>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</si>
  <si>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</si>
  <si>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</si>
  <si>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</si>
  <si>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</si>
  <si>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</si>
  <si>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</si>
  <si>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</si>
  <si>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</si>
  <si>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</si>
  <si>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</si>
  <si>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</si>
  <si>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</si>
  <si>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</si>
  <si>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</si>
  <si>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</si>
  <si>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</si>
  <si>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</si>
  <si>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</si>
  <si>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</si>
  <si>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</si>
  <si>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</si>
  <si>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</si>
  <si>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</si>
  <si>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</si>
  <si>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</si>
  <si>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</si>
  <si>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</si>
  <si>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</si>
  <si>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</si>
  <si>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</si>
  <si>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</si>
  <si>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</si>
  <si>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</si>
  <si>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</si>
  <si>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</si>
  <si>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</si>
  <si>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</si>
  <si>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</si>
  <si>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</si>
  <si>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</si>
  <si>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</si>
  <si>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</si>
  <si>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</si>
  <si>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</si>
  <si>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</si>
  <si>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</si>
  <si>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</si>
  <si>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</si>
  <si>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</si>
  <si>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</si>
  <si>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</si>
  <si>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</si>
  <si>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</si>
  <si>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</si>
  <si>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</si>
  <si>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</si>
  <si>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</si>
  <si>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</si>
  <si>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</si>
  <si>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</si>
  <si>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</si>
  <si>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</si>
  <si>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</si>
  <si>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</si>
  <si>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</si>
  <si>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</si>
  <si>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</si>
  <si>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</si>
  <si>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</si>
  <si>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</si>
  <si>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</si>
  <si>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</si>
  <si>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</si>
  <si>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</si>
  <si>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</si>
  <si>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</si>
  <si>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</si>
  <si>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</si>
  <si>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</si>
  <si>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</si>
  <si>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</si>
  <si>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</si>
  <si>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</si>
  <si>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</si>
  <si>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</si>
  <si>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</si>
  <si>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</si>
  <si>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</si>
  <si>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</si>
  <si>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</si>
  <si>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</si>
  <si>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</si>
  <si>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</si>
  <si>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</si>
  <si>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</si>
  <si>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</si>
  <si>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</si>
  <si>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</si>
  <si>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</si>
  <si>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</si>
  <si>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</si>
  <si>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</si>
  <si>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</si>
  <si>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</si>
  <si>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</si>
  <si>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</si>
  <si>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</si>
  <si>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</si>
  <si>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</si>
  <si>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</si>
  <si>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</si>
  <si>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</si>
  <si>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</si>
  <si>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</si>
  <si>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</si>
  <si>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</si>
  <si>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</si>
  <si>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</si>
  <si>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</si>
  <si>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</si>
  <si>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</si>
  <si>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</si>
  <si>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</si>
  <si>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</si>
  <si>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</si>
  <si>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</si>
  <si>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</si>
  <si>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</si>
  <si>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</si>
  <si>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</si>
  <si>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</si>
  <si>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</si>
  <si>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</si>
  <si>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</si>
  <si>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</si>
  <si>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</si>
  <si>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</si>
  <si>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</si>
  <si>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</si>
  <si>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</si>
  <si>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</si>
  <si>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</si>
  <si>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</si>
  <si>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</si>
  <si>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</si>
  <si>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</si>
  <si>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</si>
  <si>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</si>
  <si>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</si>
  <si>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</si>
  <si>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</si>
  <si>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</si>
  <si>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</si>
  <si>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</si>
  <si>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</si>
  <si>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</si>
  <si>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</si>
  <si>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</si>
  <si>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</si>
  <si>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</si>
  <si>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</si>
  <si>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</si>
  <si>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</si>
  <si>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</si>
  <si>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</si>
  <si>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</si>
  <si>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</si>
  <si>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</si>
  <si>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</si>
  <si>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</si>
  <si>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</si>
  <si>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</si>
  <si>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</si>
  <si>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</si>
  <si>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</si>
  <si>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</si>
  <si>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</si>
  <si>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</si>
  <si>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</si>
  <si>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</si>
  <si>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</si>
  <si>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</si>
  <si>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</si>
  <si>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</si>
  <si>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</si>
  <si>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</si>
  <si>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</si>
  <si>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</si>
  <si>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</si>
  <si>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</si>
  <si>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</si>
  <si>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</si>
  <si>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</si>
  <si>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</si>
  <si>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</si>
  <si>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</si>
  <si>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</si>
  <si>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</si>
  <si>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</si>
  <si>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</si>
  <si>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</si>
  <si>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</si>
  <si>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</si>
  <si>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</si>
  <si>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</si>
  <si>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</si>
  <si>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</si>
  <si>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</si>
  <si>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</si>
  <si>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</si>
  <si>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</si>
  <si>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</si>
  <si>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</si>
  <si>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</si>
  <si>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</si>
  <si>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</si>
  <si>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</si>
  <si>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</si>
  <si>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</si>
  <si>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</si>
  <si>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</si>
  <si>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</si>
  <si>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</si>
  <si>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</si>
  <si>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</si>
  <si>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</si>
  <si>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</si>
  <si>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</si>
  <si>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</si>
  <si>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</si>
  <si>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</si>
  <si>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</si>
  <si>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</si>
  <si>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</si>
  <si>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</si>
  <si>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</si>
  <si>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</si>
  <si>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</si>
  <si>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</si>
  <si>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</si>
  <si>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</si>
  <si>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</si>
  <si>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</si>
  <si>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</si>
  <si>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</si>
  <si>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</si>
  <si>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</si>
  <si>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</si>
  <si>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</si>
  <si>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</si>
  <si>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</si>
  <si>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</si>
  <si>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</si>
  <si>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</si>
  <si>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</si>
  <si>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</si>
  <si>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</si>
  <si>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</si>
  <si>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</si>
  <si>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</si>
  <si>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</si>
  <si>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</si>
  <si>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</si>
  <si>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</si>
  <si>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</si>
  <si>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</si>
  <si>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</si>
  <si>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</si>
  <si>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</si>
  <si>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</si>
  <si>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</si>
  <si>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</si>
  <si>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</si>
  <si>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</si>
  <si>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</si>
  <si>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</si>
  <si>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</si>
  <si>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</si>
  <si>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</si>
  <si>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</si>
  <si>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</si>
  <si>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</si>
  <si>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</si>
  <si>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</si>
  <si>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</si>
  <si>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</si>
  <si>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</si>
  <si>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</si>
  <si>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</si>
  <si>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</si>
  <si>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</si>
  <si>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</si>
  <si>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</si>
  <si>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</si>
  <si>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</si>
  <si>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</si>
  <si>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</si>
  <si>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</si>
  <si>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</si>
  <si>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</si>
  <si>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</si>
  <si>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</si>
  <si>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</si>
  <si>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</si>
  <si>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</si>
  <si>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</si>
  <si>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</si>
  <si>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</si>
  <si>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</si>
  <si>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</si>
  <si>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</si>
  <si>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</si>
  <si>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</si>
  <si>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</si>
  <si>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</si>
  <si>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</si>
  <si>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</si>
  <si>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</si>
  <si>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</si>
  <si>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</si>
  <si>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</si>
  <si>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</si>
  <si>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</si>
  <si>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</si>
  <si>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</si>
  <si>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</si>
  <si>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</si>
  <si>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</si>
  <si>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</si>
  <si>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</si>
  <si>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</si>
  <si>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</si>
  <si>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</si>
  <si>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</si>
  <si>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</si>
  <si>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</si>
  <si>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</si>
  <si>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</si>
  <si>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</si>
  <si>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</si>
  <si>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</si>
  <si>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</si>
  <si>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</si>
  <si>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</si>
  <si>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</si>
  <si>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</si>
  <si>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</si>
  <si>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</si>
  <si>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</si>
  <si>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</si>
  <si>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</si>
  <si>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</si>
  <si>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</si>
  <si>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</si>
  <si>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</si>
  <si>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</si>
  <si>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</si>
  <si>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</si>
  <si>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</si>
  <si>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</si>
  <si>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</si>
  <si>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</si>
  <si>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</si>
  <si>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</si>
  <si>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</si>
  <si>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</si>
  <si>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</si>
  <si>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</si>
  <si>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</si>
  <si>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</si>
  <si>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</si>
  <si>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</si>
  <si>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</si>
  <si>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</si>
  <si>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</si>
  <si>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</si>
  <si>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</si>
  <si>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</si>
  <si>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</si>
  <si>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</si>
  <si>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</si>
  <si>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</si>
  <si>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</si>
  <si>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</si>
  <si>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</si>
  <si>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</si>
  <si>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</si>
  <si>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</si>
  <si>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</si>
  <si>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</si>
  <si>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</si>
  <si>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</si>
  <si>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</si>
  <si>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</si>
  <si>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</si>
  <si>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</si>
  <si>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</si>
  <si>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</si>
  <si>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</si>
  <si>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</si>
  <si>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</si>
  <si>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</si>
  <si>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</si>
  <si>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</si>
  <si>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</si>
  <si>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</si>
  <si>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</si>
  <si>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</si>
  <si>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</si>
  <si>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</si>
  <si>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</si>
  <si>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</si>
  <si>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</si>
  <si>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</si>
  <si>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</si>
  <si>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</si>
  <si>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</si>
  <si>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</si>
  <si>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</si>
  <si>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</si>
  <si>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</si>
  <si>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</si>
  <si>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</si>
  <si>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</si>
  <si>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</si>
  <si>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</si>
  <si>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</si>
  <si>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</si>
  <si>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</si>
  <si>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</si>
  <si>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</si>
  <si>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</si>
  <si>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</si>
  <si>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</si>
  <si>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</si>
  <si>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</si>
  <si>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</si>
  <si>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</si>
  <si>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</si>
  <si>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</si>
  <si>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</si>
  <si>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</si>
  <si>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</si>
  <si>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</si>
  <si>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</si>
  <si>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</si>
  <si>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</si>
  <si>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</si>
  <si>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</si>
  <si>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</si>
  <si>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</si>
  <si>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</si>
  <si>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</si>
  <si>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</si>
  <si>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</si>
  <si>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</si>
  <si>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</si>
  <si>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</si>
  <si>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</si>
  <si>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</si>
  <si>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</si>
  <si>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</si>
  <si>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</si>
  <si>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</si>
  <si>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</si>
  <si>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</si>
  <si>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</si>
  <si>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</si>
  <si>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</si>
  <si>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</si>
  <si>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</si>
  <si>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</si>
  <si>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</si>
  <si>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</si>
  <si>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</si>
  <si>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</si>
  <si>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</si>
  <si>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</si>
  <si>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</si>
  <si>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</si>
  <si>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</si>
  <si>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</si>
  <si>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</si>
  <si>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</si>
  <si>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</si>
  <si>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</si>
  <si>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</si>
  <si>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</si>
  <si>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</si>
  <si>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</si>
  <si>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</si>
  <si>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</si>
  <si>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</si>
  <si>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</si>
  <si>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</si>
  <si>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</si>
  <si>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</si>
  <si>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</si>
  <si>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</si>
  <si>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</si>
  <si>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</si>
  <si>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</si>
  <si>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</si>
  <si>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</si>
  <si>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</si>
  <si>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</si>
  <si>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</si>
  <si>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</si>
  <si>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</si>
  <si>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</si>
  <si>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</si>
  <si>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</si>
  <si>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</si>
  <si>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</si>
  <si>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</si>
  <si>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</si>
  <si>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</si>
  <si>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</si>
  <si>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</si>
  <si>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</si>
  <si>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</si>
  <si>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</si>
  <si>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</si>
  <si>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</si>
  <si>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</si>
  <si>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</si>
  <si>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</si>
  <si>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</si>
  <si>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</si>
  <si>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</si>
  <si>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</si>
  <si>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</si>
  <si>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</si>
  <si>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</si>
  <si>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</si>
  <si>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</si>
  <si>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</si>
  <si>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</si>
  <si>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</si>
  <si>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</si>
  <si>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</si>
  <si>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</si>
  <si>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</si>
  <si>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</si>
  <si>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</si>
  <si>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</si>
  <si>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</si>
  <si>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</si>
  <si>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</si>
  <si>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</si>
  <si>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</si>
  <si>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</si>
  <si>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</si>
  <si>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</si>
  <si>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</si>
  <si>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</si>
  <si>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</si>
  <si>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</si>
  <si>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</si>
  <si>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</si>
  <si>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</si>
  <si>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</si>
  <si>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</si>
  <si>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</si>
  <si>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</si>
  <si>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</si>
  <si>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</si>
  <si>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</si>
  <si>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</si>
  <si>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</si>
  <si>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</si>
  <si>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</si>
  <si>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</si>
  <si>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</si>
  <si>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</si>
  <si>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</si>
  <si>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</si>
  <si>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</si>
  <si>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</si>
  <si>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</si>
  <si>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</si>
  <si>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</si>
  <si>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</si>
  <si>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</si>
  <si>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</si>
  <si>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</si>
  <si>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</si>
  <si>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</si>
  <si>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</si>
  <si>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</si>
  <si>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</si>
  <si>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</si>
  <si>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</si>
  <si>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</si>
  <si>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</si>
  <si>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</si>
  <si>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</si>
  <si>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</si>
  <si>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</si>
  <si>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</si>
  <si>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</si>
  <si>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</si>
  <si>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</si>
  <si>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</si>
  <si>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</si>
  <si>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</si>
  <si>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</si>
  <si>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</si>
  <si>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</si>
  <si>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</si>
  <si>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</si>
  <si>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</si>
  <si>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</si>
  <si>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</si>
  <si>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</si>
  <si>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</si>
  <si>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</si>
  <si>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</si>
  <si>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</si>
  <si>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</si>
  <si>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</si>
  <si>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</si>
  <si>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</si>
  <si>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</si>
  <si>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</si>
  <si>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</si>
  <si>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</si>
  <si>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</si>
  <si>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</si>
  <si>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</si>
  <si>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</si>
  <si>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</si>
  <si>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</si>
  <si>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</si>
  <si>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</si>
  <si>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</si>
  <si>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</si>
  <si>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</si>
  <si>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</si>
  <si>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</si>
  <si>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</si>
  <si>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</si>
  <si>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</si>
  <si>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</si>
  <si>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</si>
  <si>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</si>
  <si>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</si>
  <si>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</si>
  <si>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</si>
  <si>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</si>
  <si>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</si>
  <si>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</si>
  <si>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</si>
  <si>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</si>
  <si>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</si>
  <si>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</si>
  <si>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</si>
  <si>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</si>
  <si>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</si>
  <si>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</si>
  <si>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</si>
  <si>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</si>
  <si>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</si>
  <si>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</si>
  <si>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</si>
  <si>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</si>
  <si>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</si>
  <si>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</si>
  <si>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</si>
  <si>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</si>
  <si>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</si>
  <si>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</si>
  <si>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</si>
  <si>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</si>
  <si>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</si>
  <si>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</si>
  <si>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</si>
  <si>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</si>
  <si>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</si>
  <si>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</si>
  <si>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</si>
  <si>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</si>
  <si>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</si>
  <si>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</si>
  <si>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</si>
  <si>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</si>
  <si>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</si>
  <si>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</si>
  <si>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</si>
  <si>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</si>
  <si>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</si>
  <si>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</si>
  <si>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</si>
  <si>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</si>
  <si>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</si>
  <si>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</si>
  <si>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</si>
  <si>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</si>
  <si>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</si>
  <si>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</si>
  <si>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</si>
  <si>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</si>
  <si>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</si>
  <si>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</si>
  <si>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</si>
  <si>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</si>
  <si>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</si>
  <si>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</si>
  <si>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</si>
  <si>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</si>
  <si>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</si>
  <si>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</si>
  <si>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</si>
  <si>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</si>
  <si>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</si>
  <si>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</si>
  <si>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</si>
  <si>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</si>
  <si>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</si>
  <si>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</si>
  <si>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</si>
  <si>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</si>
  <si>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</si>
  <si>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</si>
  <si>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</si>
  <si>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</si>
  <si>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</si>
  <si>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</si>
  <si>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</si>
  <si>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</si>
  <si>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</si>
  <si>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</si>
  <si>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</si>
  <si>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</si>
  <si>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</si>
  <si>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</si>
  <si>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</si>
  <si>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</si>
  <si>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</si>
  <si>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</si>
  <si>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</si>
  <si>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</si>
  <si>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</si>
  <si>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</si>
  <si>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</si>
  <si>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</si>
  <si>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</si>
  <si>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</si>
  <si>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</si>
  <si>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</si>
  <si>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</si>
  <si>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</si>
  <si>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</si>
  <si>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</si>
  <si>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</si>
  <si>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</si>
  <si>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</si>
  <si>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</si>
  <si>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</si>
  <si>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</si>
  <si>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</si>
  <si>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</si>
  <si>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</si>
  <si>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</si>
  <si>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</si>
  <si>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</si>
  <si>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</si>
  <si>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</si>
  <si>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</si>
  <si>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</si>
  <si>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</si>
  <si>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</si>
  <si>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</si>
  <si>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</si>
  <si>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</si>
  <si>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</si>
  <si>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</si>
  <si>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</si>
  <si>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</si>
  <si>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</si>
  <si>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</si>
  <si>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</si>
  <si>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</si>
  <si>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</si>
  <si>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</si>
  <si>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</si>
  <si>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</si>
  <si>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</si>
  <si>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</si>
  <si>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</si>
  <si>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</si>
  <si>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</si>
  <si>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</si>
  <si>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</si>
  <si>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</si>
  <si>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</si>
  <si>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</si>
  <si>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</si>
  <si>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</si>
  <si>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</si>
  <si>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</si>
  <si>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</si>
  <si>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</si>
  <si>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</si>
  <si>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</si>
  <si>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</si>
  <si>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</si>
  <si>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</si>
  <si>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</si>
  <si>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</si>
  <si>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</si>
  <si>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</si>
  <si>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</si>
  <si>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</si>
  <si>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</si>
  <si>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</si>
  <si>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</si>
  <si>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</si>
  <si>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</si>
  <si>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</si>
  <si>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</si>
  <si>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</si>
  <si>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</si>
  <si>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</si>
  <si>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</si>
  <si>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医療法人徳洲会　松原徳洲会病院</t>
    <phoneticPr fontId="8"/>
  </si>
  <si>
    <t>大阪府がん診療拠点病院</t>
  </si>
  <si>
    <t>初回指定年月日：令和4年4月1日</t>
    <rPh sb="0" eb="2">
      <t>ショカイ</t>
    </rPh>
    <rPh sb="2" eb="4">
      <t>シテイ</t>
    </rPh>
    <rPh sb="4" eb="7">
      <t>ネンガッピ</t>
    </rPh>
    <phoneticPr fontId="8"/>
  </si>
  <si>
    <t>いりょうほうじんとくしゅうかい　まつばらとくしゅうかいびょういん</t>
    <phoneticPr fontId="8" type="Hiragana"/>
  </si>
  <si>
    <t>580-0032</t>
    <phoneticPr fontId="8" type="Hiragana"/>
  </si>
  <si>
    <t>大阪府</t>
  </si>
  <si>
    <t>松原市天美東7-13-26</t>
    <rPh sb="0" eb="3">
      <t>まつばらし</t>
    </rPh>
    <rPh sb="3" eb="6">
      <t>あまみひがし</t>
    </rPh>
    <phoneticPr fontId="8" type="Hiragana"/>
  </si>
  <si>
    <t>まつばらしあまみひがしななちょうめじゅうさんばんちにじゅうろくごう</t>
    <phoneticPr fontId="8" type="Hiragana"/>
  </si>
  <si>
    <t>072-334-3400</t>
    <phoneticPr fontId="8" type="Hiragana"/>
  </si>
  <si>
    <t>072-332-3512</t>
    <phoneticPr fontId="8" type="Hiragana"/>
  </si>
  <si>
    <t>info-matsubara@tokushukai.jp</t>
    <phoneticPr fontId="8" type="Hiragana"/>
  </si>
  <si>
    <t>https://www.matubara.tokushukai.or.jp/</t>
    <phoneticPr fontId="8" type="Hiragana"/>
  </si>
  <si>
    <t>南河内</t>
  </si>
  <si>
    <t>可</t>
  </si>
  <si>
    <t>あり</t>
  </si>
  <si>
    <t>いいえ</t>
  </si>
  <si>
    <t>はい</t>
  </si>
  <si>
    <t>なし</t>
    <phoneticPr fontId="8"/>
  </si>
  <si>
    <t>医療機関のwebサイトに掲載</t>
    <rPh sb="0" eb="4">
      <t>イリョウキカン</t>
    </rPh>
    <rPh sb="12" eb="14">
      <t>ケイサイ</t>
    </rPh>
    <phoneticPr fontId="8"/>
  </si>
  <si>
    <t>院内掲示、会議等での推進</t>
    <phoneticPr fontId="8"/>
  </si>
  <si>
    <t>医療機関のwebサイトに掲載</t>
  </si>
  <si>
    <t>がん対策基本法とがん対策推進基本計画</t>
    <phoneticPr fontId="8"/>
  </si>
  <si>
    <t>がんの特性　がん薬物療法の基礎</t>
  </si>
  <si>
    <t>医療機関のWebサイトに掲載</t>
    <rPh sb="0" eb="2">
      <t>イリョウ</t>
    </rPh>
    <rPh sb="2" eb="4">
      <t>キカン</t>
    </rPh>
    <rPh sb="12" eb="14">
      <t>ケイサイ</t>
    </rPh>
    <phoneticPr fontId="8"/>
  </si>
  <si>
    <t>自施設で対応</t>
  </si>
  <si>
    <t>医療機関のWebサイトに掲載</t>
    <rPh sb="0" eb="4">
      <t>イリョウキカン</t>
    </rPh>
    <rPh sb="12" eb="14">
      <t>ケイサイ</t>
    </rPh>
    <phoneticPr fontId="8"/>
  </si>
  <si>
    <t>医療機関のWebサイトに掲載</t>
    <phoneticPr fontId="8"/>
  </si>
  <si>
    <t>日本医療機能評価機構 病院機能評価</t>
  </si>
  <si>
    <t>◎</t>
  </si>
  <si>
    <t>△</t>
  </si>
  <si>
    <t>無</t>
  </si>
  <si>
    <t>小児科</t>
    <rPh sb="0" eb="3">
      <t>ショウニカ</t>
    </rPh>
    <phoneticPr fontId="63"/>
  </si>
  <si>
    <t>脳神経外科</t>
    <rPh sb="0" eb="5">
      <t>ノウシンケイゲカ</t>
    </rPh>
    <phoneticPr fontId="63"/>
  </si>
  <si>
    <t>眼科</t>
    <rPh sb="0" eb="2">
      <t>ガンカ</t>
    </rPh>
    <phoneticPr fontId="63"/>
  </si>
  <si>
    <t>耳鼻咽喉科</t>
    <rPh sb="0" eb="5">
      <t>ジビインコウカ</t>
    </rPh>
    <phoneticPr fontId="63"/>
  </si>
  <si>
    <t>歯科口腔外科</t>
    <rPh sb="0" eb="6">
      <t>シカコウクウゲカ</t>
    </rPh>
    <phoneticPr fontId="63"/>
  </si>
  <si>
    <t>乳腺・内分泌外科・耳鼻咽喉科</t>
    <rPh sb="0" eb="2">
      <t>ニュウセン</t>
    </rPh>
    <rPh sb="3" eb="6">
      <t>ナイブンピツ</t>
    </rPh>
    <rPh sb="6" eb="8">
      <t>ゲカ</t>
    </rPh>
    <rPh sb="9" eb="11">
      <t>ジビ</t>
    </rPh>
    <rPh sb="11" eb="13">
      <t>インコウ</t>
    </rPh>
    <rPh sb="13" eb="14">
      <t>カ</t>
    </rPh>
    <phoneticPr fontId="63"/>
  </si>
  <si>
    <t>乳腺・内分泌外科</t>
    <rPh sb="0" eb="2">
      <t>ニュウセン</t>
    </rPh>
    <rPh sb="3" eb="6">
      <t>ナイブンピツ</t>
    </rPh>
    <rPh sb="6" eb="8">
      <t>ゲカ</t>
    </rPh>
    <phoneticPr fontId="63"/>
  </si>
  <si>
    <t>呼吸器外科・呼吸器内科・外科</t>
    <rPh sb="0" eb="5">
      <t>コキュウキゲカ</t>
    </rPh>
    <rPh sb="6" eb="11">
      <t>コキュウキナイカ</t>
    </rPh>
    <rPh sb="12" eb="14">
      <t>ゲカ</t>
    </rPh>
    <phoneticPr fontId="63"/>
  </si>
  <si>
    <t>転移性については手術対応可</t>
    <rPh sb="0" eb="3">
      <t>テンイセイ</t>
    </rPh>
    <rPh sb="8" eb="10">
      <t>シュジュツ</t>
    </rPh>
    <rPh sb="10" eb="13">
      <t>タイオウカ</t>
    </rPh>
    <phoneticPr fontId="63"/>
  </si>
  <si>
    <t>呼吸器外科・外科</t>
    <rPh sb="0" eb="5">
      <t>コキュウキゲカ</t>
    </rPh>
    <rPh sb="6" eb="8">
      <t>ゲカ</t>
    </rPh>
    <phoneticPr fontId="63"/>
  </si>
  <si>
    <t>外科</t>
    <rPh sb="0" eb="2">
      <t>ゲカ</t>
    </rPh>
    <phoneticPr fontId="63"/>
  </si>
  <si>
    <t>整形外科</t>
    <rPh sb="0" eb="4">
      <t>セイケイゲカ</t>
    </rPh>
    <phoneticPr fontId="63"/>
  </si>
  <si>
    <t>泌尿器科</t>
    <rPh sb="0" eb="4">
      <t>ヒニョウキカ</t>
    </rPh>
    <phoneticPr fontId="63"/>
  </si>
  <si>
    <t>婦人科</t>
    <rPh sb="0" eb="3">
      <t>フジンカ</t>
    </rPh>
    <phoneticPr fontId="63"/>
  </si>
  <si>
    <t>皮膚科</t>
    <rPh sb="0" eb="3">
      <t>ヒフカ</t>
    </rPh>
    <phoneticPr fontId="63"/>
  </si>
  <si>
    <t>内科</t>
    <rPh sb="0" eb="2">
      <t>ナイカ</t>
    </rPh>
    <phoneticPr fontId="63"/>
  </si>
  <si>
    <t>外科・婦人科</t>
    <rPh sb="0" eb="2">
      <t>ゲカ</t>
    </rPh>
    <rPh sb="3" eb="6">
      <t>フジンカ</t>
    </rPh>
    <phoneticPr fontId="63"/>
  </si>
  <si>
    <t xml:space="preserve">手術療法については現在は連携する大阪公立大学病院もしくは患者様希望医療機関へ紹介している。呼吸器外科を開設し、自施設で実施できる体制の整備中である。転移性肺がんについては当院にて手術可能な体制はできている。術後の薬物療法については自施設で対応している。当院は放射線治療装置がない為、放射線療法を要する患者は、連携する八尾徳洲会総合病院や和泉市立総合医療センターもしくは患者様希望医療機関に紹介している。治療後のフォローは自施設で対応している。
</t>
    <rPh sb="0" eb="2">
      <t>シュジュツ</t>
    </rPh>
    <rPh sb="2" eb="4">
      <t>リョウホウ</t>
    </rPh>
    <rPh sb="9" eb="11">
      <t>ゲンザイ</t>
    </rPh>
    <rPh sb="12" eb="14">
      <t>レンケイ</t>
    </rPh>
    <rPh sb="16" eb="22">
      <t>オオサカコウリツダイガク</t>
    </rPh>
    <rPh sb="22" eb="24">
      <t>ビョウイン</t>
    </rPh>
    <rPh sb="28" eb="31">
      <t>カンジャサマ</t>
    </rPh>
    <rPh sb="31" eb="33">
      <t>キボウ</t>
    </rPh>
    <rPh sb="33" eb="37">
      <t>イリョウキカン</t>
    </rPh>
    <rPh sb="38" eb="40">
      <t>ショウカイ</t>
    </rPh>
    <rPh sb="45" eb="50">
      <t>コキュウキゲカ</t>
    </rPh>
    <rPh sb="51" eb="53">
      <t>カイセツ</t>
    </rPh>
    <rPh sb="55" eb="56">
      <t>ジ</t>
    </rPh>
    <rPh sb="56" eb="58">
      <t>シセツ</t>
    </rPh>
    <rPh sb="59" eb="61">
      <t>ジッシ</t>
    </rPh>
    <rPh sb="64" eb="66">
      <t>タイセイ</t>
    </rPh>
    <rPh sb="67" eb="70">
      <t>セイビナカ</t>
    </rPh>
    <rPh sb="74" eb="77">
      <t>テンイセイ</t>
    </rPh>
    <rPh sb="77" eb="78">
      <t>ハイ</t>
    </rPh>
    <rPh sb="85" eb="87">
      <t>トウイン</t>
    </rPh>
    <rPh sb="89" eb="91">
      <t>シュジュツ</t>
    </rPh>
    <rPh sb="91" eb="93">
      <t>カノウ</t>
    </rPh>
    <rPh sb="94" eb="96">
      <t>タイセイ</t>
    </rPh>
    <rPh sb="103" eb="105">
      <t>ジュツゴ</t>
    </rPh>
    <rPh sb="106" eb="110">
      <t>ヤクブツリョウホウ</t>
    </rPh>
    <rPh sb="115" eb="118">
      <t>ジシセツ</t>
    </rPh>
    <rPh sb="119" eb="121">
      <t>タイオウ</t>
    </rPh>
    <rPh sb="126" eb="128">
      <t>トウイン</t>
    </rPh>
    <phoneticPr fontId="8"/>
  </si>
  <si>
    <t xml:space="preserve">当院は放射線治療装置がない為、放射線療法を要する患者は、連携する八尾徳洲会総合病院や和泉市立総合医療センターもしくは患者様希望医療機関に紹介している。
治療後のフォローは自施設で対応している。
</t>
    <rPh sb="0" eb="2">
      <t>トウイン</t>
    </rPh>
    <rPh sb="3" eb="10">
      <t>ホウシャセンチリョウソウチ</t>
    </rPh>
    <rPh sb="13" eb="14">
      <t>タメ</t>
    </rPh>
    <rPh sb="15" eb="18">
      <t>ホウシャセン</t>
    </rPh>
    <rPh sb="18" eb="20">
      <t>リョウホウ</t>
    </rPh>
    <rPh sb="21" eb="22">
      <t>ヨウ</t>
    </rPh>
    <rPh sb="24" eb="26">
      <t>カンジャ</t>
    </rPh>
    <rPh sb="28" eb="30">
      <t>レンケイ</t>
    </rPh>
    <rPh sb="32" eb="41">
      <t>ヤオトクシュウカイソウゴウビョウイン</t>
    </rPh>
    <rPh sb="42" eb="46">
      <t>イズミシリツ</t>
    </rPh>
    <rPh sb="46" eb="50">
      <t>ソウゴウイリョウ</t>
    </rPh>
    <rPh sb="58" eb="61">
      <t>カンジャサマ</t>
    </rPh>
    <rPh sb="61" eb="63">
      <t>キボウ</t>
    </rPh>
    <rPh sb="63" eb="67">
      <t>イリョウキカン</t>
    </rPh>
    <rPh sb="68" eb="70">
      <t>ショウカイ</t>
    </rPh>
    <phoneticPr fontId="8"/>
  </si>
  <si>
    <t>臨床倫理カンファレンス　　　　　　　　　　　　　　　　　　　　　　　　　　　　　　　　　　　　　　　　　　　　　　　　　　　　　　　　　　　　　　　　　　　　　　　　　　　　　　　　　　　　　　　　　　　　　　　　　　　　　　　　　　　　　　　　　テーマ：治療を望む身寄りのない精神疾患患者の治療適応について
参加職種：医師、看護師、薬剤師、理学療法士、管理栄養士、公認心理師</t>
    <phoneticPr fontId="8"/>
  </si>
  <si>
    <t>緩和ケア外来</t>
    <rPh sb="0" eb="2">
      <t>カンワ</t>
    </rPh>
    <rPh sb="4" eb="6">
      <t>ガイライ</t>
    </rPh>
    <phoneticPr fontId="8"/>
  </si>
  <si>
    <t>外科</t>
    <rPh sb="0" eb="2">
      <t>ゲカ</t>
    </rPh>
    <phoneticPr fontId="8"/>
  </si>
  <si>
    <t>1回/週</t>
    <rPh sb="1" eb="2">
      <t>カイ</t>
    </rPh>
    <rPh sb="3" eb="4">
      <t>シュウ</t>
    </rPh>
    <phoneticPr fontId="8"/>
  </si>
  <si>
    <t>診療内容：症状緩和、地域連携
アピールポイント：難治性疼痛に対する神経ブロック、症状緩和目的のIVR(骨転移に対する動脈塞栓術、下大静脈ステント、腹腔静脈シャント造設など)</t>
    <rPh sb="0" eb="4">
      <t>シンリョウナイヨウ</t>
    </rPh>
    <rPh sb="5" eb="9">
      <t>ショウジョウカンワ</t>
    </rPh>
    <rPh sb="10" eb="14">
      <t>チイキレンケイ</t>
    </rPh>
    <rPh sb="24" eb="29">
      <t>ナンチセイトウツウ</t>
    </rPh>
    <rPh sb="30" eb="31">
      <t>タイ</t>
    </rPh>
    <rPh sb="33" eb="35">
      <t>シンケイ</t>
    </rPh>
    <rPh sb="40" eb="44">
      <t>ショウジョウカンワ</t>
    </rPh>
    <rPh sb="44" eb="46">
      <t>モクテキ</t>
    </rPh>
    <rPh sb="51" eb="54">
      <t>コツテンイ</t>
    </rPh>
    <rPh sb="55" eb="56">
      <t>タイ</t>
    </rPh>
    <rPh sb="58" eb="62">
      <t>ドウミャクソクセン</t>
    </rPh>
    <rPh sb="62" eb="63">
      <t>ジュツ</t>
    </rPh>
    <rPh sb="64" eb="68">
      <t>カダイジョウミャク</t>
    </rPh>
    <rPh sb="73" eb="77">
      <t>フククウジョウミャク</t>
    </rPh>
    <rPh sb="81" eb="83">
      <t>ゾウセツ</t>
    </rPh>
    <phoneticPr fontId="8"/>
  </si>
  <si>
    <t>専門外来のご紹介</t>
    <rPh sb="0" eb="2">
      <t>センモン</t>
    </rPh>
    <rPh sb="2" eb="4">
      <t>ガイライ</t>
    </rPh>
    <rPh sb="6" eb="8">
      <t>ショウカイ</t>
    </rPh>
    <phoneticPr fontId="8"/>
  </si>
  <si>
    <t>https://www.matubara.tokushukai.or.jp/medical/specialty_clinic/</t>
    <phoneticPr fontId="8"/>
  </si>
  <si>
    <t>総合案内</t>
    <rPh sb="0" eb="4">
      <t>ソウゴウアンナイ</t>
    </rPh>
    <phoneticPr fontId="8"/>
  </si>
  <si>
    <t>072-334-3400</t>
    <phoneticPr fontId="8"/>
  </si>
  <si>
    <t>地域医療連携室</t>
    <phoneticPr fontId="8"/>
  </si>
  <si>
    <t>日曜日、祝祭日、年末年始以外対応可</t>
    <phoneticPr fontId="8"/>
  </si>
  <si>
    <t>3274</t>
    <phoneticPr fontId="8"/>
  </si>
  <si>
    <t>3106</t>
    <phoneticPr fontId="8"/>
  </si>
  <si>
    <t>病棟がありません</t>
  </si>
  <si>
    <t>常勤</t>
  </si>
  <si>
    <t>緩和ケア認定看護師</t>
    <rPh sb="0" eb="2">
      <t>カンワ</t>
    </rPh>
    <rPh sb="4" eb="6">
      <t>ニンテイ</t>
    </rPh>
    <rPh sb="6" eb="9">
      <t>カンゴシ</t>
    </rPh>
    <phoneticPr fontId="8"/>
  </si>
  <si>
    <t>社会福祉士</t>
    <rPh sb="0" eb="2">
      <t>シャカイ</t>
    </rPh>
    <rPh sb="2" eb="4">
      <t>フクシ</t>
    </rPh>
    <rPh sb="4" eb="5">
      <t>シ</t>
    </rPh>
    <phoneticPr fontId="8"/>
  </si>
  <si>
    <t>精神保健福祉士</t>
    <rPh sb="0" eb="2">
      <t>セイシン</t>
    </rPh>
    <rPh sb="2" eb="4">
      <t>ホケン</t>
    </rPh>
    <rPh sb="4" eb="7">
      <t>フクシシ</t>
    </rPh>
    <phoneticPr fontId="8"/>
  </si>
  <si>
    <t>公認心理士</t>
    <rPh sb="0" eb="2">
      <t>コウニン</t>
    </rPh>
    <rPh sb="2" eb="5">
      <t>シンリシ</t>
    </rPh>
    <phoneticPr fontId="8"/>
  </si>
  <si>
    <t>非常勤</t>
  </si>
  <si>
    <t>理学療法士</t>
    <rPh sb="0" eb="2">
      <t>リガク</t>
    </rPh>
    <rPh sb="2" eb="5">
      <t>リョウホウシ</t>
    </rPh>
    <phoneticPr fontId="8"/>
  </si>
  <si>
    <t>医療リンパドレナージセラピスト</t>
    <rPh sb="0" eb="2">
      <t>イリョウ</t>
    </rPh>
    <phoneticPr fontId="8"/>
  </si>
  <si>
    <t>管理栄養士</t>
    <rPh sb="0" eb="2">
      <t>カンリ</t>
    </rPh>
    <rPh sb="2" eb="5">
      <t>エイヨウシ</t>
    </rPh>
    <phoneticPr fontId="8"/>
  </si>
  <si>
    <t>歯科衛生士</t>
    <rPh sb="0" eb="2">
      <t>シカ</t>
    </rPh>
    <rPh sb="2" eb="5">
      <t>エイセイシ</t>
    </rPh>
    <phoneticPr fontId="8"/>
  </si>
  <si>
    <t>回／週</t>
  </si>
  <si>
    <t>入院時にがん患者スクリーニングを実施し、依頼を受けていないがん患者の苦痛の把握に努めている。依頼のあるなしに関わらず、苦痛のある患者にはラウンド時にスタッフと共有し助言や指導を行うほか、必要時にはリンクナースがカンファレンスに参加する体制を整えている。緩和ケアセミナー（1回/年）の実施、緩和ケアだよりを発行し底上げをはかっている。</t>
    <phoneticPr fontId="8"/>
  </si>
  <si>
    <t>全看護師へ部署ごとに苦痛の把握や専門的緩和ケアに関する勉強会を実施。リンクナース委員会とも連携し全看護師が患者の苦痛を把握し支援できるよう勉強会を行っている。ラウンド時には各病棟の看護師へ対し、苦痛の把握や意思決定支援に対して指導をおこなっている。</t>
    <phoneticPr fontId="8"/>
  </si>
  <si>
    <t>AYA世代のがん患者の就労支援の対応として、社会保険労務士ホットライン事業の活用を推進している。　</t>
    <phoneticPr fontId="8"/>
  </si>
  <si>
    <t>大阪市立総合医療センター、近畿大学病院、大阪母子医療センター</t>
    <phoneticPr fontId="8"/>
  </si>
  <si>
    <t>現在、認定がん・生殖医療ナビゲーターの育成には至っていないが、緩和ケア認定看護師・がん薬物療法認定看護師が対応している。
人材育成につながるよう、がん患者に関わる機会が多いがんセンター・外来化学療法室スタッフを中心に大阪がん・生殖医療ネットワーク等主催の講演会や研修を受講し、知識の習得から取り組んでいる。</t>
    <phoneticPr fontId="8"/>
  </si>
  <si>
    <t>高齢のがん患者に関しては、主治医等と連携しながら告知・治療方針決定の際に、緩和ケア認定看護師・がん薬物療法看護認定看護師が同席し支援できるよう体制を整えているが、高齢者総合機能評価の実施までには至っていない。</t>
    <phoneticPr fontId="8"/>
  </si>
  <si>
    <t>外来化学療法室及びがん相談支援センターにアピアランスケアに関する情報（冊子・パンフレット）を設置すると共に、実際にウィッグの着用体験や人工乳房に触れることができる環境を整備している。
相談対応は外来化学療法室及びがん相談支援センターにて相談員が対応（アピアランスケアに関する研修を受けている）している。ウィッグについてサロンでの購入を希望される場合は、サロンについても情報提供している。</t>
    <phoneticPr fontId="8"/>
  </si>
  <si>
    <t>両立支援コーディネーター研修を受講した相談員中心に対応している。
休業補償や金銭面及び就職自体が難航するケースについては、社会保険労務士がん就労支援ホットライン事業への相談、ハローワークへの相談を行い、必要に応じて紹介できる体制をとっている。</t>
    <phoneticPr fontId="8"/>
  </si>
  <si>
    <t>対応事例はないが、がん患者の就学に関する支援を要する場合は、南河内がんネットワーク協議会及び小児がん拠点病院等に相談の上、紹介できる体制を取っている。</t>
    <phoneticPr fontId="8"/>
  </si>
  <si>
    <t>妊よう性の温存に関する説明及び情報提供など、意思決定を支援する対応は実施できるが、妊よう制の温存を希望される場合は、
大阪府がん患者妊よう性温存治療費助成事業の利用や、指定病院へ紹介できる体制をとっている。</t>
    <phoneticPr fontId="8"/>
  </si>
  <si>
    <t>がん相談支援センターの案内</t>
    <rPh sb="2" eb="4">
      <t>ソウダン</t>
    </rPh>
    <rPh sb="4" eb="6">
      <t>シエン</t>
    </rPh>
    <rPh sb="11" eb="13">
      <t>アンナイ</t>
    </rPh>
    <phoneticPr fontId="8"/>
  </si>
  <si>
    <t>グリーフケア</t>
    <phoneticPr fontId="8"/>
  </si>
  <si>
    <t>がんの情報提供</t>
    <rPh sb="3" eb="7">
      <t>ジョウホウテイキョウ</t>
    </rPh>
    <phoneticPr fontId="8"/>
  </si>
  <si>
    <t>がん相談支援センター</t>
    <phoneticPr fontId="8"/>
  </si>
  <si>
    <t>072-334-3509</t>
    <phoneticPr fontId="8"/>
  </si>
  <si>
    <t>実施</t>
  </si>
  <si>
    <t>未実施</t>
  </si>
  <si>
    <t>・外来診察時に初回告知となった場合は、主治医より、がん相談支援センターを訪ねるよう、フローチャートを作成し運用している。　　　　　　　　　　　　　　　　　　　　　　・がん相談支援センターの場所案内及びリーフレットを渡し、サポート体制について説明している。
・外来化学療法室及び日帰り手術センターでオリエンテーションの際に、リーフレットを渡しがん相談支援センターの場所確認を含め実際に案内し紹介している。</t>
    <phoneticPr fontId="8"/>
  </si>
  <si>
    <t>相談者にアンケートを実施し、フィードバックを得られるよう、運用手順等検討し準備している。
現時点では面談終了時に相談内容が解決したかどうかを含め、評価を受けるに留まっている。</t>
    <phoneticPr fontId="8"/>
  </si>
  <si>
    <t>社会保険労務士</t>
    <phoneticPr fontId="8"/>
  </si>
  <si>
    <t>外来化学療法室、がん相談支援センター</t>
    <phoneticPr fontId="8"/>
  </si>
  <si>
    <t>がん相談支援センター、外来化学療法室</t>
    <rPh sb="2" eb="6">
      <t>ソウダンシエン</t>
    </rPh>
    <rPh sb="11" eb="13">
      <t>ガイライ</t>
    </rPh>
    <rPh sb="13" eb="18">
      <t>カガクリョウホウシツ</t>
    </rPh>
    <phoneticPr fontId="8"/>
  </si>
  <si>
    <t>近畿大学病院・IVF大阪クリニック・IVFなんばクリニック</t>
    <rPh sb="0" eb="4">
      <t>キンキダイガク</t>
    </rPh>
    <rPh sb="4" eb="6">
      <t>ビョウイン</t>
    </rPh>
    <rPh sb="10" eb="12">
      <t>オオサカ</t>
    </rPh>
    <phoneticPr fontId="8"/>
  </si>
  <si>
    <t>NPO法人　がんとともに生きる会</t>
    <rPh sb="3" eb="5">
      <t>ホウジン</t>
    </rPh>
    <rPh sb="12" eb="13">
      <t>イ</t>
    </rPh>
    <rPh sb="15" eb="16">
      <t>カイ</t>
    </rPh>
    <phoneticPr fontId="8"/>
  </si>
  <si>
    <t>当院開催の医療講演への協力、演者としても参加</t>
    <rPh sb="0" eb="2">
      <t>トウイン</t>
    </rPh>
    <rPh sb="2" eb="4">
      <t>カイサイ</t>
    </rPh>
    <rPh sb="5" eb="7">
      <t>イリョウ</t>
    </rPh>
    <rPh sb="7" eb="9">
      <t>コウエン</t>
    </rPh>
    <rPh sb="11" eb="13">
      <t>キョウリョク</t>
    </rPh>
    <rPh sb="14" eb="16">
      <t>エンジャ</t>
    </rPh>
    <rPh sb="20" eb="22">
      <t>サンカ</t>
    </rPh>
    <phoneticPr fontId="8"/>
  </si>
  <si>
    <t>NPO法人　希望の会</t>
    <rPh sb="3" eb="5">
      <t>ホウジン</t>
    </rPh>
    <rPh sb="6" eb="8">
      <t>キボウ</t>
    </rPh>
    <rPh sb="9" eb="10">
      <t>カイ</t>
    </rPh>
    <phoneticPr fontId="8"/>
  </si>
  <si>
    <t>スキルス胃がん</t>
    <rPh sb="4" eb="5">
      <t>イ</t>
    </rPh>
    <phoneticPr fontId="8"/>
  </si>
  <si>
    <t>本部は東京であるが会を通じて、セカンドオピニオン治療についての紹介を受けている。勉強会にもＷｅｂにて参加</t>
    <rPh sb="0" eb="2">
      <t>ホンブ</t>
    </rPh>
    <rPh sb="3" eb="5">
      <t>トウキョウ</t>
    </rPh>
    <rPh sb="9" eb="10">
      <t>カイ</t>
    </rPh>
    <rPh sb="11" eb="12">
      <t>ツウ</t>
    </rPh>
    <rPh sb="24" eb="26">
      <t>チリョウ</t>
    </rPh>
    <rPh sb="31" eb="33">
      <t>ショウカイ</t>
    </rPh>
    <rPh sb="34" eb="35">
      <t>ウ</t>
    </rPh>
    <rPh sb="40" eb="42">
      <t>ベンキョウ</t>
    </rPh>
    <rPh sb="42" eb="43">
      <t>カイ</t>
    </rPh>
    <rPh sb="50" eb="52">
      <t>サンカ</t>
    </rPh>
    <phoneticPr fontId="8"/>
  </si>
  <si>
    <t>ストーマ外来</t>
    <phoneticPr fontId="8"/>
  </si>
  <si>
    <t>コロストーマとウロストーマ</t>
  </si>
  <si>
    <t>大腸がん、膀胱がん</t>
    <phoneticPr fontId="8"/>
  </si>
  <si>
    <t>対応していない</t>
  </si>
  <si>
    <t>がん看護外来
対象となる疾患：すべてのがん
特色：告知時や病状説明時の同席、麻薬に関する服薬指導、家族支援など。</t>
    <phoneticPr fontId="8"/>
  </si>
  <si>
    <t>専従</t>
  </si>
  <si>
    <t>初級認定者（みなし含む）</t>
  </si>
  <si>
    <t>相談支援センターが窓口となっている</t>
  </si>
  <si>
    <t>がん相談支援センター</t>
    <rPh sb="2" eb="6">
      <t>ソウダンシエン</t>
    </rPh>
    <phoneticPr fontId="8"/>
  </si>
  <si>
    <t>https://www.matubara.tokushukai.or.jp/department/cancer/01/</t>
    <phoneticPr fontId="8"/>
  </si>
  <si>
    <t>その他（5割未満）</t>
  </si>
  <si>
    <t>医療安全管理者養成研修</t>
    <rPh sb="0" eb="2">
      <t>イリョウ</t>
    </rPh>
    <rPh sb="2" eb="4">
      <t>アンゼン</t>
    </rPh>
    <rPh sb="4" eb="6">
      <t>カンリ</t>
    </rPh>
    <rPh sb="6" eb="7">
      <t>シャ</t>
    </rPh>
    <rPh sb="7" eb="9">
      <t>ヨウセイ</t>
    </rPh>
    <rPh sb="9" eb="11">
      <t>ケンシュウ</t>
    </rPh>
    <phoneticPr fontId="8"/>
  </si>
  <si>
    <t>徳洲会グループ</t>
    <rPh sb="0" eb="3">
      <t>トクシュウカイ</t>
    </rPh>
    <phoneticPr fontId="8"/>
  </si>
  <si>
    <t>薬剤師</t>
  </si>
  <si>
    <t>専従（8割以上）</t>
  </si>
  <si>
    <t>専任（5割以上8割未満）</t>
  </si>
  <si>
    <t>大阪府看護協会</t>
    <rPh sb="0" eb="3">
      <t>オオサカフ</t>
    </rPh>
    <rPh sb="3" eb="5">
      <t>カンゴ</t>
    </rPh>
    <rPh sb="5" eb="7">
      <t>キョウカイ</t>
    </rPh>
    <phoneticPr fontId="8"/>
  </si>
  <si>
    <t>日本医療機能評価機構
病院機能評価</t>
  </si>
  <si>
    <t>医療安全対策地域連携加算での地域連携ラウンド</t>
    <rPh sb="0" eb="2">
      <t>イリョウ</t>
    </rPh>
    <rPh sb="2" eb="4">
      <t>アンゼン</t>
    </rPh>
    <rPh sb="4" eb="6">
      <t>タイサク</t>
    </rPh>
    <rPh sb="6" eb="8">
      <t>チイキ</t>
    </rPh>
    <rPh sb="8" eb="10">
      <t>レンケイ</t>
    </rPh>
    <rPh sb="10" eb="12">
      <t>カサン</t>
    </rPh>
    <rPh sb="14" eb="16">
      <t>チイキ</t>
    </rPh>
    <rPh sb="16" eb="18">
      <t>レンケイ</t>
    </rPh>
    <phoneticPr fontId="8"/>
  </si>
  <si>
    <t>徳洲会グループ医療安全ラウンド</t>
    <rPh sb="0" eb="3">
      <t>トクシュウカイ</t>
    </rPh>
    <rPh sb="7" eb="9">
      <t>イリョウ</t>
    </rPh>
    <rPh sb="9" eb="11">
      <t>アンゼン</t>
    </rPh>
    <phoneticPr fontId="8"/>
  </si>
  <si>
    <t>管轄保健所が実施する立ち入り検査</t>
    <rPh sb="0" eb="2">
      <t>カンカツ</t>
    </rPh>
    <rPh sb="2" eb="4">
      <t>ホケン</t>
    </rPh>
    <rPh sb="4" eb="5">
      <t>ショ</t>
    </rPh>
    <rPh sb="6" eb="8">
      <t>ジッシ</t>
    </rPh>
    <rPh sb="10" eb="11">
      <t>タ</t>
    </rPh>
    <rPh sb="12" eb="13">
      <t>イ</t>
    </rPh>
    <rPh sb="14" eb="16">
      <t>ケンサ</t>
    </rPh>
    <phoneticPr fontId="8"/>
  </si>
  <si>
    <t>NPO法人卒後臨床研修評価機構（JCEP）</t>
    <rPh sb="3" eb="5">
      <t>ホウジン</t>
    </rPh>
    <rPh sb="5" eb="7">
      <t>ソツゴ</t>
    </rPh>
    <rPh sb="7" eb="9">
      <t>リンショウ</t>
    </rPh>
    <rPh sb="9" eb="11">
      <t>ケンシュウ</t>
    </rPh>
    <rPh sb="11" eb="13">
      <t>ヒョウカ</t>
    </rPh>
    <rPh sb="13" eb="15">
      <t>キコウ</t>
    </rPh>
    <phoneticPr fontId="8"/>
  </si>
  <si>
    <t>歯科医師(院内)</t>
  </si>
  <si>
    <t>歯科衛生士(院内)</t>
  </si>
  <si>
    <t>院内の歯科医師と連携体制を構築</t>
  </si>
  <si>
    <t>（2）誤嚥性肺炎を予防するための口腔内清潔保持。
（3）全身麻酔患者に対する口腔内環境及び口腔機能の評価と状況に応じた処置及び口腔ケア実施。
（4）口腔内環境の汚染等で摂食が進まない患者に対する評価と口腔ケア。
（5）口腔内の疼痛がある場合や口腔ケアが看護師では難しい場合などには、適時、診察を依頼し、治療や口腔衛生を維持できるよう連携している。</t>
    <phoneticPr fontId="8"/>
  </si>
  <si>
    <t>ビスホスホネート製剤等を使用する前の口腔環境の評価、治療及びセルフケア指導。化学療法開始前のセルフケア指導と治療中の副作用・合併症対策。</t>
    <phoneticPr fontId="8"/>
  </si>
  <si>
    <t>3ヶ月に1回程度</t>
    <rPh sb="0" eb="3">
      <t>サンカゲツ</t>
    </rPh>
    <rPh sb="5" eb="6">
      <t>カイ</t>
    </rPh>
    <rPh sb="6" eb="8">
      <t>テイド</t>
    </rPh>
    <phoneticPr fontId="8"/>
  </si>
  <si>
    <t>松原市医師会、松原市内の病院間の連携体制について</t>
    <rPh sb="0" eb="3">
      <t>マツバラシ</t>
    </rPh>
    <rPh sb="3" eb="6">
      <t>イシカイ</t>
    </rPh>
    <rPh sb="7" eb="11">
      <t>マツバラシナイ</t>
    </rPh>
    <rPh sb="12" eb="14">
      <t>ビョウイン</t>
    </rPh>
    <rPh sb="14" eb="15">
      <t>カン</t>
    </rPh>
    <rPh sb="16" eb="18">
      <t>レンケイ</t>
    </rPh>
    <rPh sb="18" eb="20">
      <t>タイセイ</t>
    </rPh>
    <phoneticPr fontId="8"/>
  </si>
  <si>
    <t>松原市医師会</t>
    <rPh sb="0" eb="3">
      <t>マツバラシ</t>
    </rPh>
    <rPh sb="3" eb="6">
      <t>イシカイ</t>
    </rPh>
    <phoneticPr fontId="8"/>
  </si>
  <si>
    <t>年2回</t>
    <rPh sb="0" eb="1">
      <t>ネン</t>
    </rPh>
    <rPh sb="2" eb="3">
      <t>カイ</t>
    </rPh>
    <phoneticPr fontId="8"/>
  </si>
  <si>
    <t>各市町村・医師会におけるがん検診の実情、拠点病院における活動報告、相談・就労支援部会 、緩和ケア部会 、がん登録部会 からの活動報告、次年度計画</t>
    <rPh sb="0" eb="1">
      <t>カク</t>
    </rPh>
    <rPh sb="1" eb="4">
      <t>シチョウソン</t>
    </rPh>
    <rPh sb="5" eb="8">
      <t>イシカイ</t>
    </rPh>
    <rPh sb="14" eb="16">
      <t>ケンシン</t>
    </rPh>
    <rPh sb="17" eb="19">
      <t>ジツジョウ</t>
    </rPh>
    <rPh sb="20" eb="22">
      <t>キョテン</t>
    </rPh>
    <rPh sb="22" eb="24">
      <t>ビョウイン</t>
    </rPh>
    <rPh sb="28" eb="30">
      <t>カツドウ</t>
    </rPh>
    <rPh sb="30" eb="32">
      <t>ホウコク</t>
    </rPh>
    <phoneticPr fontId="8"/>
  </si>
  <si>
    <t>南河内がん医療ネットワーク協議会</t>
    <rPh sb="0" eb="3">
      <t>ミナミカワチ</t>
    </rPh>
    <rPh sb="5" eb="7">
      <t>イリョウ</t>
    </rPh>
    <rPh sb="13" eb="16">
      <t>キョウギカイ</t>
    </rPh>
    <phoneticPr fontId="8"/>
  </si>
  <si>
    <t>年1回</t>
    <rPh sb="0" eb="1">
      <t>ネン</t>
    </rPh>
    <rPh sb="2" eb="3">
      <t>カイ</t>
    </rPh>
    <phoneticPr fontId="8"/>
  </si>
  <si>
    <t>「松原緩和ケア研究会」：松原の緩和ケアの質の向上と顔の見える関係作り（連携強化）を目的とし、松原市内の病院、クリニック、ケアプランセンター、訪問看護ステーションから出席。</t>
    <rPh sb="1" eb="5">
      <t>マツバラカンワ</t>
    </rPh>
    <rPh sb="7" eb="10">
      <t>ケンキュウカイ</t>
    </rPh>
    <rPh sb="12" eb="14">
      <t>マツバラ</t>
    </rPh>
    <rPh sb="15" eb="17">
      <t>カンワ</t>
    </rPh>
    <rPh sb="20" eb="21">
      <t>シツ</t>
    </rPh>
    <rPh sb="22" eb="24">
      <t>コウジョウ</t>
    </rPh>
    <rPh sb="25" eb="26">
      <t>カオ</t>
    </rPh>
    <rPh sb="27" eb="28">
      <t>ミ</t>
    </rPh>
    <rPh sb="30" eb="32">
      <t>カンケイ</t>
    </rPh>
    <rPh sb="32" eb="33">
      <t>ツク</t>
    </rPh>
    <rPh sb="35" eb="37">
      <t>レンケイ</t>
    </rPh>
    <rPh sb="37" eb="39">
      <t>キョウカ</t>
    </rPh>
    <rPh sb="41" eb="43">
      <t>モクテキ</t>
    </rPh>
    <rPh sb="46" eb="50">
      <t>マツバラシナイ</t>
    </rPh>
    <rPh sb="51" eb="53">
      <t>ビョウイン</t>
    </rPh>
    <rPh sb="70" eb="74">
      <t>ホウモンカンゴ</t>
    </rPh>
    <rPh sb="82" eb="84">
      <t>シュッセキ</t>
    </rPh>
    <phoneticPr fontId="8"/>
  </si>
  <si>
    <t>https://www.matubara.tokushukai.or.jp/department/cancer/%E5%8C%BB%E7%99%82%E8%80%85%E5%90%91%E3%81%91/</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</si>
</sst>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0" fontId="13" fillId="9" borderId="34" xfId="0" applyFont="1" applyFill="1" applyBorder="1" applyAlignment="1" applyProtection="1">
      <alignment horizontal="left" vertical="center" wrapText="1"/>
      <protection locked="0"/>
    </xf>
    <xf numFmtId="58" fontId="14"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wrapText="1"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58" fontId="0" fillId="14" borderId="117" xfId="0" applyNumberFormat="1"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5" t="s">
        <v>6</v>
      </c>
      <c r="X5" s="1206"/>
      <c r="Y5" s="1206"/>
      <c r="Z5" s="1206"/>
      <c r="AA5" s="1206"/>
      <c r="AB5" s="1206"/>
      <c r="AC5" s="1207"/>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南河内</v>
      </c>
      <c r="D7" s="58" t="str">
        <f>+'様式4（全般事項）'!H23</f>
        <v>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2.3333333333333335</v>
      </c>
      <c r="X7" s="95" t="e">
        <f>'様式4（全般事項）'!R232/('様式4（全般事項）'!R231+'様式4（全般事項）'!R232)</f>
        <v>#DIV/0!</v>
      </c>
      <c r="Y7" s="95">
        <f>'様式4（全般事項）'!R236/('様式4（全般事項）'!R235+'様式4（全般事項）'!R236)</f>
        <v>0.3</v>
      </c>
      <c r="Z7" s="95">
        <f>'様式4（全般事項）'!R248/('様式4（全般事項）'!R247+'様式4（全般事項）'!R248)</f>
        <v>1</v>
      </c>
      <c r="AA7" s="95" t="e">
        <f>'様式4（全般事項）'!R252/('様式4（全般事項）'!R251+'様式4（全般事項）'!R252)</f>
        <v>#DIV/0!</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2</v>
      </c>
      <c r="AS7" s="93">
        <f>別紙11相談内容!C23</f>
        <v>5</v>
      </c>
      <c r="AT7" s="93" t="str">
        <f>別紙15専門外来!D22</f>
        <v>いいえ</v>
      </c>
      <c r="AU7" s="93" t="str">
        <f>別紙15専門外来!W15</f>
        <v>はい</v>
      </c>
      <c r="AV7" s="93">
        <f>'様式4（全般事項）'!R286+'様式4（全般事項）'!R287+'様式4（全般事項）'!R288</f>
        <v>208</v>
      </c>
      <c r="AW7" s="93">
        <f>別紙5緩和外来!U22</f>
        <v>10</v>
      </c>
      <c r="AX7" s="93">
        <f>別紙7地域緩和ケア連携体制!H7</f>
        <v>1</v>
      </c>
      <c r="AY7" s="93">
        <f>別紙5緩和外来!U25</f>
        <v>6</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282</v>
      </c>
      <c r="BO7" s="93" t="e">
        <f>別紙13相談支援センター体制!#REF!+別紙13相談支援センター体制!#REF!</f>
        <v>#REF!</v>
      </c>
      <c r="BP7" s="93" t="e">
        <f>別紙13相談支援センター体制!#REF!</f>
        <v>#REF!</v>
      </c>
      <c r="BQ7" s="93">
        <f>別紙14連携協力体制!E35</f>
        <v>2</v>
      </c>
      <c r="BR7" s="93">
        <f>別紙14連携協力体制!E30+別紙14連携協力体制!E31</f>
        <v>1</v>
      </c>
      <c r="BS7" s="93">
        <f>別紙11相談内容!F21</f>
        <v>1</v>
      </c>
      <c r="BT7" s="93">
        <f>別紙14連携協力体制!E7</f>
        <v>1</v>
      </c>
      <c r="BU7" s="93">
        <f>別紙11相談内容!C23</f>
        <v>5</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0" t="s">
        <v>835</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53"/>
      <c r="Z1" s="53"/>
      <c r="AA1" s="53"/>
    </row>
    <row r="2" spans="1:28"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4"/>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5" t="str">
        <f>表紙!E2</f>
        <v>医療法人徳洲会　松原徳洲会病院</v>
      </c>
      <c r="G4" s="1385"/>
      <c r="H4" s="1385"/>
      <c r="I4" s="1385"/>
      <c r="J4" s="1385"/>
      <c r="K4" s="1385"/>
      <c r="L4" s="1385"/>
      <c r="M4" s="1386"/>
      <c r="N4" s="1386"/>
      <c r="O4" s="1386"/>
      <c r="P4" s="1386"/>
      <c r="Q4" s="1386"/>
      <c r="R4" s="1386"/>
      <c r="S4" s="1386"/>
      <c r="T4" s="1386"/>
      <c r="U4" s="1386"/>
      <c r="V4" s="1386"/>
      <c r="W4" s="1386"/>
      <c r="X4" s="1386"/>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1777</v>
      </c>
      <c r="Z6" s="8" t="str">
        <f>IF(X6&lt;&gt;"","○","×")</f>
        <v>○</v>
      </c>
      <c r="AB6" s="125"/>
    </row>
    <row r="7" spans="1:28" ht="27" customHeight="1" thickBot="1">
      <c r="A7" s="465">
        <v>2</v>
      </c>
      <c r="B7" s="1387" t="s">
        <v>837</v>
      </c>
      <c r="C7" s="1388"/>
      <c r="D7" s="1388"/>
      <c r="E7" s="1267" t="s">
        <v>1812</v>
      </c>
      <c r="F7" s="1345"/>
      <c r="G7" s="1345"/>
      <c r="H7" s="1345"/>
      <c r="I7" s="1345"/>
      <c r="J7" s="1345"/>
      <c r="K7" s="1345"/>
      <c r="L7" s="1345"/>
      <c r="M7" s="1345"/>
      <c r="N7" s="1345"/>
      <c r="O7" s="1345"/>
      <c r="P7" s="1345"/>
      <c r="Q7" s="1345"/>
      <c r="R7" s="1345"/>
      <c r="S7" s="1345"/>
      <c r="T7" s="1345"/>
      <c r="U7" s="1345"/>
      <c r="V7" s="1345"/>
      <c r="W7" s="1345"/>
      <c r="X7" s="1268"/>
      <c r="Z7" s="8" t="str">
        <f>IF(AND($X$6="はい",E7=""),"×","○")</f>
        <v>○</v>
      </c>
      <c r="AB7" s="74"/>
    </row>
    <row r="8" spans="1:28" ht="27" customHeight="1" thickBot="1">
      <c r="A8" s="465">
        <v>3</v>
      </c>
      <c r="B8" s="1377" t="s">
        <v>838</v>
      </c>
      <c r="C8" s="1378"/>
      <c r="D8" s="1378"/>
      <c r="E8" s="1267" t="s">
        <v>1813</v>
      </c>
      <c r="F8" s="1345"/>
      <c r="G8" s="1345"/>
      <c r="H8" s="1345"/>
      <c r="I8" s="1345"/>
      <c r="J8" s="1345"/>
      <c r="K8" s="1345"/>
      <c r="L8" s="1345"/>
      <c r="M8" s="1345"/>
      <c r="N8" s="1345"/>
      <c r="O8" s="1345"/>
      <c r="P8" s="1345"/>
      <c r="Q8" s="1345"/>
      <c r="R8" s="1345"/>
      <c r="S8" s="1345"/>
      <c r="T8" s="1345"/>
      <c r="U8" s="1345"/>
      <c r="V8" s="1345"/>
      <c r="W8" s="1345"/>
      <c r="X8" s="1268"/>
      <c r="Z8" s="8" t="str">
        <f>IF(AND($X$6="はい",E8=""),"×","○")</f>
        <v>○</v>
      </c>
      <c r="AB8" s="74"/>
    </row>
    <row r="9" spans="1:28" ht="27" customHeight="1" thickBot="1">
      <c r="A9" s="465">
        <v>4</v>
      </c>
      <c r="B9" s="1379" t="s">
        <v>839</v>
      </c>
      <c r="C9" s="1380"/>
      <c r="D9" s="1380"/>
      <c r="E9" s="1267" t="s">
        <v>1814</v>
      </c>
      <c r="F9" s="1345"/>
      <c r="G9" s="1345"/>
      <c r="H9" s="1345"/>
      <c r="I9" s="1345"/>
      <c r="J9" s="1345"/>
      <c r="K9" s="1345"/>
      <c r="L9" s="1345"/>
      <c r="M9" s="1345"/>
      <c r="N9" s="1345"/>
      <c r="O9" s="1345"/>
      <c r="P9" s="1345"/>
      <c r="Q9" s="1345"/>
      <c r="R9" s="1345"/>
      <c r="S9" s="1345"/>
      <c r="T9" s="1345"/>
      <c r="U9" s="1345"/>
      <c r="V9" s="1345"/>
      <c r="W9" s="1345"/>
      <c r="X9" s="1268"/>
      <c r="Z9" s="8" t="str">
        <f>IF(AND($X$6="はい",E9=""),"×","○")</f>
        <v>○</v>
      </c>
      <c r="AB9" s="74"/>
    </row>
    <row r="10" spans="1:28" ht="54" customHeight="1" thickBot="1">
      <c r="A10" s="465">
        <v>5</v>
      </c>
      <c r="B10" s="1381" t="s">
        <v>840</v>
      </c>
      <c r="C10" s="1382"/>
      <c r="D10" s="1382"/>
      <c r="E10" s="1267" t="s">
        <v>1815</v>
      </c>
      <c r="F10" s="1345"/>
      <c r="G10" s="1345"/>
      <c r="H10" s="1345"/>
      <c r="I10" s="1345"/>
      <c r="J10" s="1345"/>
      <c r="K10" s="1345"/>
      <c r="L10" s="1345"/>
      <c r="M10" s="1345"/>
      <c r="N10" s="1345"/>
      <c r="O10" s="1345"/>
      <c r="P10" s="1345"/>
      <c r="Q10" s="1345"/>
      <c r="R10" s="1345"/>
      <c r="S10" s="1345"/>
      <c r="T10" s="1345"/>
      <c r="U10" s="1345"/>
      <c r="V10" s="1345"/>
      <c r="W10" s="1345"/>
      <c r="X10" s="1268"/>
      <c r="Z10" s="8" t="str">
        <f>IF(AND($X$6="はい",E10=""),"×","○")</f>
        <v>○</v>
      </c>
      <c r="AB10" s="74"/>
    </row>
    <row r="11" spans="1:28" ht="26.25" customHeight="1" thickBot="1">
      <c r="A11" s="1359">
        <v>6</v>
      </c>
      <c r="B11" s="1361" t="s">
        <v>841</v>
      </c>
      <c r="C11" s="1362"/>
      <c r="D11" s="469" t="s">
        <v>842</v>
      </c>
      <c r="E11" s="1365" t="s">
        <v>1816</v>
      </c>
      <c r="F11" s="1366"/>
      <c r="G11" s="1366"/>
      <c r="H11" s="1366"/>
      <c r="I11" s="1366"/>
      <c r="J11" s="1366"/>
      <c r="K11" s="1366"/>
      <c r="L11" s="1366"/>
      <c r="M11" s="1366"/>
      <c r="N11" s="1366"/>
      <c r="O11" s="1366"/>
      <c r="P11" s="1366"/>
      <c r="Q11" s="1366"/>
      <c r="R11" s="1366"/>
      <c r="S11" s="1366"/>
      <c r="T11" s="1366"/>
      <c r="U11" s="1366"/>
      <c r="V11" s="1366"/>
      <c r="W11" s="1366"/>
      <c r="X11" s="1367"/>
      <c r="AB11" s="74"/>
    </row>
    <row r="12" spans="1:28" ht="54" customHeight="1" thickBot="1">
      <c r="A12" s="1360"/>
      <c r="B12" s="1363"/>
      <c r="C12" s="1364"/>
      <c r="D12" s="470" t="s">
        <v>843</v>
      </c>
      <c r="E12" s="1267" t="s">
        <v>1817</v>
      </c>
      <c r="F12" s="1345"/>
      <c r="G12" s="1345"/>
      <c r="H12" s="1345"/>
      <c r="I12" s="1345"/>
      <c r="J12" s="1345"/>
      <c r="K12" s="1345"/>
      <c r="L12" s="1345"/>
      <c r="M12" s="1345"/>
      <c r="N12" s="1345"/>
      <c r="O12" s="1345"/>
      <c r="P12" s="1345"/>
      <c r="Q12" s="1345"/>
      <c r="R12" s="1345"/>
      <c r="S12" s="1345"/>
      <c r="T12" s="1345"/>
      <c r="U12" s="1345"/>
      <c r="V12" s="1345"/>
      <c r="W12" s="1345"/>
      <c r="X12" s="1268"/>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1777</v>
      </c>
      <c r="Z13" s="8" t="str">
        <f>IF(AND($X$6="はい",X13=""),"×","○")</f>
        <v>○</v>
      </c>
      <c r="AB13" s="74"/>
    </row>
    <row r="14" spans="1:28" ht="24" customHeight="1" thickBot="1">
      <c r="A14" s="1339">
        <v>8</v>
      </c>
      <c r="B14" s="1368" t="s">
        <v>845</v>
      </c>
      <c r="C14" s="1369"/>
      <c r="D14" s="1369"/>
      <c r="E14" s="1370"/>
      <c r="F14" s="1370"/>
      <c r="G14" s="1370"/>
      <c r="H14" s="1370"/>
      <c r="I14" s="1370"/>
      <c r="J14" s="1370"/>
      <c r="K14" s="1370"/>
      <c r="L14" s="1370"/>
      <c r="M14" s="1370"/>
      <c r="N14" s="1370"/>
      <c r="O14" s="1370"/>
      <c r="P14" s="1370"/>
      <c r="Q14" s="1370"/>
      <c r="R14" s="1370"/>
      <c r="S14" s="1370"/>
      <c r="T14" s="1370"/>
      <c r="U14" s="1370"/>
      <c r="V14" s="1370"/>
      <c r="W14" s="1370"/>
      <c r="X14" s="37" t="s">
        <v>1777</v>
      </c>
      <c r="Z14" s="8" t="str">
        <f>IF(AND($X$6="はい",X14=""),"×","○")</f>
        <v>○</v>
      </c>
      <c r="AB14" s="74"/>
    </row>
    <row r="15" spans="1:28" ht="24" customHeight="1" thickBot="1">
      <c r="A15" s="1340"/>
      <c r="B15" s="1342" t="s">
        <v>846</v>
      </c>
      <c r="C15" s="1343"/>
      <c r="D15" s="1343"/>
      <c r="E15" s="1267" t="s">
        <v>1818</v>
      </c>
      <c r="F15" s="1345"/>
      <c r="G15" s="1345"/>
      <c r="H15" s="1345"/>
      <c r="I15" s="1345"/>
      <c r="J15" s="1345"/>
      <c r="K15" s="1345"/>
      <c r="L15" s="1345"/>
      <c r="M15" s="1345"/>
      <c r="N15" s="1345"/>
      <c r="O15" s="1345"/>
      <c r="P15" s="1345"/>
      <c r="Q15" s="1345"/>
      <c r="R15" s="1345"/>
      <c r="S15" s="1345"/>
      <c r="T15" s="1345"/>
      <c r="U15" s="1345"/>
      <c r="V15" s="1345"/>
      <c r="W15" s="1345"/>
      <c r="X15" s="1268"/>
      <c r="Z15" s="8" t="str">
        <f>IF(AND($X$14="はい",E15=""),"×","○")</f>
        <v>○</v>
      </c>
      <c r="AB15" s="74"/>
    </row>
    <row r="16" spans="1:28" ht="24" customHeight="1" thickBot="1">
      <c r="A16" s="1341"/>
      <c r="B16" s="1346" t="s">
        <v>847</v>
      </c>
      <c r="C16" s="1347"/>
      <c r="D16" s="1348"/>
      <c r="E16" s="1371" t="s">
        <v>1819</v>
      </c>
      <c r="F16" s="1372"/>
      <c r="G16" s="1372"/>
      <c r="H16" s="1372"/>
      <c r="I16" s="1372"/>
      <c r="J16" s="1372"/>
      <c r="K16" s="1372"/>
      <c r="L16" s="1372"/>
      <c r="M16" s="1372"/>
      <c r="N16" s="1373"/>
      <c r="O16" s="1374" t="s">
        <v>848</v>
      </c>
      <c r="P16" s="1375"/>
      <c r="Q16" s="1376"/>
      <c r="R16" s="1356" t="s">
        <v>1823</v>
      </c>
      <c r="S16" s="1357"/>
      <c r="T16" s="1357"/>
      <c r="U16" s="1357"/>
      <c r="V16" s="1357"/>
      <c r="W16" s="1357"/>
      <c r="X16" s="1358"/>
      <c r="Z16" s="8" t="str">
        <f>IF(AND($X$14="はい",E16=""),"×","○")</f>
        <v>○</v>
      </c>
      <c r="AB16" s="74"/>
    </row>
    <row r="17" spans="1:30" ht="24" customHeight="1" thickBot="1">
      <c r="A17" s="1339">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1777</v>
      </c>
      <c r="Z17" s="8" t="str">
        <f>IF(AND($X$6="はい",X17=""),"×","○")</f>
        <v>○</v>
      </c>
      <c r="AB17" s="74"/>
    </row>
    <row r="18" spans="1:30" ht="24" customHeight="1" thickBot="1">
      <c r="A18" s="1340"/>
      <c r="B18" s="1342" t="s">
        <v>846</v>
      </c>
      <c r="C18" s="1343"/>
      <c r="D18" s="1344"/>
      <c r="E18" s="1267" t="s">
        <v>1820</v>
      </c>
      <c r="F18" s="1345"/>
      <c r="G18" s="1345"/>
      <c r="H18" s="1345"/>
      <c r="I18" s="1345"/>
      <c r="J18" s="1345"/>
      <c r="K18" s="1345"/>
      <c r="L18" s="1345"/>
      <c r="M18" s="1345"/>
      <c r="N18" s="1345"/>
      <c r="O18" s="1345"/>
      <c r="P18" s="1345"/>
      <c r="Q18" s="1345"/>
      <c r="R18" s="1345"/>
      <c r="S18" s="1345"/>
      <c r="T18" s="1345"/>
      <c r="U18" s="1345"/>
      <c r="V18" s="1345"/>
      <c r="W18" s="1345"/>
      <c r="X18" s="1268"/>
      <c r="Z18" s="8" t="str">
        <f>IF(AND($X$17="はい",E18=""),"×","○")</f>
        <v>○</v>
      </c>
      <c r="AB18" s="74"/>
    </row>
    <row r="19" spans="1:30" ht="24" customHeight="1" thickBot="1">
      <c r="A19" s="1340"/>
      <c r="B19" s="1346" t="s">
        <v>847</v>
      </c>
      <c r="C19" s="1347"/>
      <c r="D19" s="1348"/>
      <c r="E19" s="1349" t="s">
        <v>1819</v>
      </c>
      <c r="F19" s="1350"/>
      <c r="G19" s="1350"/>
      <c r="H19" s="1350"/>
      <c r="I19" s="1350"/>
      <c r="J19" s="1350"/>
      <c r="K19" s="1350"/>
      <c r="L19" s="1350"/>
      <c r="M19" s="1350"/>
      <c r="N19" s="1351"/>
      <c r="O19" s="1352" t="s">
        <v>848</v>
      </c>
      <c r="P19" s="1352"/>
      <c r="Q19" s="1352"/>
      <c r="R19" s="1356" t="s">
        <v>1822</v>
      </c>
      <c r="S19" s="1357"/>
      <c r="T19" s="1357"/>
      <c r="U19" s="1357"/>
      <c r="V19" s="1357"/>
      <c r="W19" s="1357"/>
      <c r="X19" s="1358"/>
      <c r="Z19" s="8" t="str">
        <f>IF(AND($X$17="はい",E19=""),"×","○")</f>
        <v>○</v>
      </c>
      <c r="AB19" s="74"/>
    </row>
    <row r="20" spans="1:30" ht="24" customHeight="1" thickBot="1">
      <c r="A20" s="1341"/>
      <c r="B20" s="1353" t="s">
        <v>850</v>
      </c>
      <c r="C20" s="1354"/>
      <c r="D20" s="1355"/>
      <c r="E20" s="1267" t="s">
        <v>1821</v>
      </c>
      <c r="F20" s="1345"/>
      <c r="G20" s="1345"/>
      <c r="H20" s="1345"/>
      <c r="I20" s="1345"/>
      <c r="J20" s="1345"/>
      <c r="K20" s="1345"/>
      <c r="L20" s="1345"/>
      <c r="M20" s="1345"/>
      <c r="N20" s="1345"/>
      <c r="O20" s="1345"/>
      <c r="P20" s="1345"/>
      <c r="Q20" s="1345"/>
      <c r="R20" s="1345"/>
      <c r="S20" s="1345"/>
      <c r="T20" s="1345"/>
      <c r="U20" s="1345"/>
      <c r="V20" s="1345"/>
      <c r="W20" s="1345"/>
      <c r="X20" s="1268"/>
      <c r="AB20" s="74"/>
    </row>
    <row r="21" spans="1:30" ht="24" customHeight="1">
      <c r="A21" s="1333">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4"/>
      <c r="B22" s="483"/>
      <c r="C22" s="484"/>
      <c r="D22" s="485"/>
      <c r="E22" s="486" t="s">
        <v>852</v>
      </c>
      <c r="F22" s="487"/>
      <c r="G22" s="487"/>
      <c r="H22" s="487"/>
      <c r="I22" s="487"/>
      <c r="J22" s="487"/>
      <c r="K22" s="487"/>
      <c r="L22" s="487"/>
      <c r="M22" s="487"/>
      <c r="N22" s="487"/>
      <c r="O22" s="487"/>
      <c r="P22" s="487"/>
      <c r="Q22" s="487"/>
      <c r="R22" s="487"/>
      <c r="S22" s="487"/>
      <c r="T22" s="488"/>
      <c r="U22" s="1336">
        <v>10</v>
      </c>
      <c r="V22" s="1337"/>
      <c r="W22" s="1338"/>
      <c r="X22" s="489" t="s">
        <v>349</v>
      </c>
      <c r="Y22" s="490"/>
      <c r="Z22" s="8" t="str">
        <f>IF(AND($X$6="はい",U22=""),"×","○")</f>
        <v>○</v>
      </c>
      <c r="AB22" s="74"/>
      <c r="AC22" s="491">
        <v>0</v>
      </c>
      <c r="AD22" s="491">
        <v>330</v>
      </c>
    </row>
    <row r="23" spans="1:30" ht="24" customHeight="1" thickBot="1">
      <c r="A23" s="1334"/>
      <c r="B23" s="483" t="s">
        <v>175</v>
      </c>
      <c r="C23" s="484"/>
      <c r="D23" s="485"/>
      <c r="E23" s="492" t="s">
        <v>853</v>
      </c>
      <c r="F23" s="493"/>
      <c r="G23" s="493"/>
      <c r="H23" s="493"/>
      <c r="I23" s="493"/>
      <c r="J23" s="493"/>
      <c r="K23" s="493"/>
      <c r="L23" s="493"/>
      <c r="M23" s="493"/>
      <c r="N23" s="493"/>
      <c r="O23" s="493"/>
      <c r="P23" s="493"/>
      <c r="Q23" s="493"/>
      <c r="R23" s="493"/>
      <c r="S23" s="493"/>
      <c r="T23" s="494"/>
      <c r="U23" s="1336">
        <v>21</v>
      </c>
      <c r="V23" s="1337"/>
      <c r="W23" s="1338"/>
      <c r="X23" s="489" t="s">
        <v>349</v>
      </c>
      <c r="Z23" s="8" t="str">
        <f>IF(AND($X$6="はい",U23=""),"×","○")</f>
        <v>○</v>
      </c>
      <c r="AB23" s="74"/>
      <c r="AC23" s="491">
        <v>0</v>
      </c>
      <c r="AD23" s="491">
        <v>2400</v>
      </c>
    </row>
    <row r="24" spans="1:30" ht="24" customHeight="1">
      <c r="A24" s="1334"/>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4"/>
      <c r="B25" s="483"/>
      <c r="C25" s="484"/>
      <c r="D25" s="485"/>
      <c r="E25" s="497" t="s">
        <v>855</v>
      </c>
      <c r="F25" s="498"/>
      <c r="G25" s="498"/>
      <c r="H25" s="498"/>
      <c r="I25" s="498"/>
      <c r="J25" s="498"/>
      <c r="K25" s="498"/>
      <c r="L25" s="498"/>
      <c r="M25" s="498"/>
      <c r="N25" s="498"/>
      <c r="O25" s="498"/>
      <c r="P25" s="498"/>
      <c r="Q25" s="498"/>
      <c r="R25" s="498"/>
      <c r="S25" s="498"/>
      <c r="T25" s="499"/>
      <c r="U25" s="1336">
        <v>6</v>
      </c>
      <c r="V25" s="1337"/>
      <c r="W25" s="1338"/>
      <c r="X25" s="489" t="s">
        <v>349</v>
      </c>
      <c r="Z25" s="8" t="str">
        <f t="shared" ref="Z25:Z26" si="0">IF(AND($X$6="はい",U25=""),"×","○")</f>
        <v>○</v>
      </c>
      <c r="AB25" s="74"/>
      <c r="AC25" s="491">
        <v>0</v>
      </c>
      <c r="AD25" s="500">
        <v>500</v>
      </c>
    </row>
    <row r="26" spans="1:30" ht="24" customHeight="1" thickBot="1">
      <c r="A26" s="1335"/>
      <c r="B26" s="501"/>
      <c r="C26" s="502"/>
      <c r="D26" s="503"/>
      <c r="E26" s="492" t="s">
        <v>856</v>
      </c>
      <c r="F26" s="504"/>
      <c r="G26" s="504"/>
      <c r="H26" s="504"/>
      <c r="I26" s="504"/>
      <c r="J26" s="504"/>
      <c r="K26" s="504"/>
      <c r="L26" s="504"/>
      <c r="M26" s="504"/>
      <c r="N26" s="504"/>
      <c r="O26" s="504"/>
      <c r="P26" s="504"/>
      <c r="Q26" s="504"/>
      <c r="R26" s="504"/>
      <c r="S26" s="504"/>
      <c r="T26" s="505"/>
      <c r="U26" s="1336">
        <v>8</v>
      </c>
      <c r="V26" s="1337"/>
      <c r="W26" s="1338"/>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0" t="s">
        <v>857</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1270"/>
      <c r="Z1" s="53"/>
      <c r="AA1" s="97"/>
      <c r="AB1" s="53"/>
      <c r="AC1" s="17"/>
    </row>
    <row r="2" spans="1:31"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81" t="str">
        <f>表紙!E2</f>
        <v>医療法人徳洲会　松原徳洲会病院</v>
      </c>
      <c r="H4" s="1482"/>
      <c r="I4" s="1482"/>
      <c r="J4" s="1482"/>
      <c r="K4" s="1482"/>
      <c r="L4" s="1482"/>
      <c r="M4" s="1482"/>
      <c r="N4" s="1482"/>
      <c r="O4" s="1482"/>
      <c r="P4" s="1482"/>
      <c r="Q4" s="1482"/>
      <c r="R4" s="1482"/>
      <c r="S4" s="1482"/>
      <c r="T4" s="1482"/>
      <c r="U4" s="1482"/>
      <c r="V4" s="1482"/>
      <c r="W4" s="1482"/>
      <c r="X4" s="1482"/>
      <c r="Y4" s="1483"/>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3" t="s">
        <v>858</v>
      </c>
      <c r="C7" s="1474"/>
      <c r="D7" s="1474"/>
      <c r="E7" s="1474"/>
      <c r="F7" s="1475" t="s">
        <v>1824</v>
      </c>
      <c r="G7" s="1476"/>
      <c r="H7" s="1476"/>
      <c r="I7" s="1476"/>
      <c r="J7" s="1476"/>
      <c r="K7" s="1476"/>
      <c r="L7" s="1476"/>
      <c r="M7" s="1476"/>
      <c r="N7" s="1476"/>
      <c r="O7" s="1477"/>
      <c r="P7" s="511"/>
      <c r="Q7" s="511"/>
      <c r="R7" s="511"/>
      <c r="S7" s="511"/>
      <c r="T7" s="511"/>
      <c r="U7" s="511"/>
      <c r="V7" s="511"/>
      <c r="W7" s="511"/>
      <c r="X7" s="511"/>
      <c r="Y7" s="512"/>
      <c r="AA7" s="427" t="str">
        <f>IF($F$7&lt;&gt;"","○","×")</f>
        <v>○</v>
      </c>
      <c r="AB7" s="427"/>
      <c r="AC7" s="126"/>
    </row>
    <row r="8" spans="1:31" ht="18" customHeight="1" thickBot="1">
      <c r="A8" s="510">
        <v>2</v>
      </c>
      <c r="B8" s="1473" t="s">
        <v>859</v>
      </c>
      <c r="C8" s="1474"/>
      <c r="D8" s="1474"/>
      <c r="E8" s="1474"/>
      <c r="F8" s="1478"/>
      <c r="G8" s="1479"/>
      <c r="H8" s="1479"/>
      <c r="I8" s="1479"/>
      <c r="J8" s="1479"/>
      <c r="K8" s="1479"/>
      <c r="L8" s="1479"/>
      <c r="M8" s="1479"/>
      <c r="N8" s="1479"/>
      <c r="O8" s="1480"/>
      <c r="P8" s="387"/>
      <c r="Q8" s="387"/>
      <c r="R8" s="387"/>
      <c r="S8" s="387"/>
      <c r="T8" s="387"/>
      <c r="U8" s="387"/>
      <c r="V8" s="387"/>
      <c r="W8" s="387"/>
      <c r="X8" s="387"/>
      <c r="Y8" s="513"/>
      <c r="AA8" s="427" t="str">
        <f>IF(AND($F$7="病棟があります",F8=""),"×","○")</f>
        <v>○</v>
      </c>
      <c r="AB8" s="427"/>
      <c r="AC8" s="126"/>
    </row>
    <row r="9" spans="1:31" ht="18" customHeight="1" thickBot="1">
      <c r="A9" s="510">
        <v>3</v>
      </c>
      <c r="B9" s="1473" t="s">
        <v>860</v>
      </c>
      <c r="C9" s="1474"/>
      <c r="D9" s="1474"/>
      <c r="E9" s="1474"/>
      <c r="F9" s="1475"/>
      <c r="G9" s="1476"/>
      <c r="H9" s="1476"/>
      <c r="I9" s="1476"/>
      <c r="J9" s="1476"/>
      <c r="K9" s="1476"/>
      <c r="L9" s="1476"/>
      <c r="M9" s="1476"/>
      <c r="N9" s="1476"/>
      <c r="O9" s="1477"/>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3" t="s">
        <v>861</v>
      </c>
      <c r="C10" s="1474"/>
      <c r="D10" s="1474"/>
      <c r="E10" s="1474"/>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60">
        <v>5</v>
      </c>
      <c r="B11" s="1461" t="s">
        <v>863</v>
      </c>
      <c r="C11" s="1461"/>
      <c r="D11" s="1461"/>
      <c r="E11" s="1461"/>
      <c r="F11" s="1461"/>
      <c r="G11" s="1462"/>
      <c r="H11" s="1461"/>
      <c r="I11" s="1461"/>
      <c r="J11" s="1461"/>
      <c r="K11" s="1461"/>
      <c r="L11" s="1461"/>
      <c r="M11" s="1461"/>
      <c r="N11" s="1461"/>
      <c r="O11" s="1461"/>
      <c r="P11" s="1461"/>
      <c r="Q11" s="1461"/>
      <c r="R11" s="1461"/>
      <c r="S11" s="1461"/>
      <c r="T11" s="1461"/>
      <c r="U11" s="1461"/>
      <c r="V11" s="1463"/>
      <c r="W11" s="1471"/>
      <c r="X11" s="1472"/>
      <c r="Y11" s="489" t="s">
        <v>864</v>
      </c>
      <c r="Z11" s="515"/>
      <c r="AA11" s="427" t="str">
        <f>IF(AND($F$7="病棟があります",W11=""),"×","○")</f>
        <v>○</v>
      </c>
      <c r="AB11" s="427"/>
      <c r="AC11" s="126"/>
      <c r="AD11" s="516">
        <v>0</v>
      </c>
      <c r="AE11" s="491">
        <v>40</v>
      </c>
    </row>
    <row r="12" spans="1:31" ht="18" customHeight="1" thickBot="1">
      <c r="A12" s="1460"/>
      <c r="B12" s="1461" t="s">
        <v>1691</v>
      </c>
      <c r="C12" s="1461"/>
      <c r="D12" s="1461"/>
      <c r="E12" s="1461"/>
      <c r="F12" s="1461"/>
      <c r="G12" s="1461"/>
      <c r="H12" s="1461"/>
      <c r="I12" s="1461"/>
      <c r="J12" s="1461"/>
      <c r="K12" s="1461"/>
      <c r="L12" s="1461"/>
      <c r="M12" s="1461"/>
      <c r="N12" s="1461"/>
      <c r="O12" s="1461"/>
      <c r="P12" s="1461"/>
      <c r="Q12" s="1461"/>
      <c r="R12" s="1461"/>
      <c r="S12" s="1461"/>
      <c r="T12" s="1461"/>
      <c r="U12" s="1461"/>
      <c r="V12" s="1463"/>
      <c r="W12" s="1471"/>
      <c r="X12" s="1472"/>
      <c r="Y12" s="489" t="s">
        <v>232</v>
      </c>
      <c r="Z12" s="411"/>
      <c r="AA12" s="427" t="str">
        <f t="shared" ref="AA12:AA13" si="1">IF(AND($F$7="病棟があります",W12=""),"×","○")</f>
        <v>○</v>
      </c>
      <c r="AB12" s="427"/>
      <c r="AC12" s="126"/>
      <c r="AD12" s="516">
        <v>0</v>
      </c>
      <c r="AE12" s="491">
        <v>500</v>
      </c>
    </row>
    <row r="13" spans="1:31" ht="18" customHeight="1" thickBot="1">
      <c r="A13" s="1460"/>
      <c r="B13" s="1461" t="s">
        <v>1692</v>
      </c>
      <c r="C13" s="1461"/>
      <c r="D13" s="1461"/>
      <c r="E13" s="1461"/>
      <c r="F13" s="1461"/>
      <c r="G13" s="1469"/>
      <c r="H13" s="1469"/>
      <c r="I13" s="1469"/>
      <c r="J13" s="1469"/>
      <c r="K13" s="1469"/>
      <c r="L13" s="1469"/>
      <c r="M13" s="1469"/>
      <c r="N13" s="1469"/>
      <c r="O13" s="1469"/>
      <c r="P13" s="1469"/>
      <c r="Q13" s="1469"/>
      <c r="R13" s="1469"/>
      <c r="S13" s="1469"/>
      <c r="T13" s="1469"/>
      <c r="U13" s="1469"/>
      <c r="V13" s="1470"/>
      <c r="W13" s="1471"/>
      <c r="X13" s="1472"/>
      <c r="Y13" s="517" t="s">
        <v>232</v>
      </c>
      <c r="Z13" s="411"/>
      <c r="AA13" s="427" t="str">
        <f t="shared" si="1"/>
        <v>○</v>
      </c>
      <c r="AB13" s="427"/>
      <c r="AC13" s="126"/>
      <c r="AD13" s="516">
        <v>0</v>
      </c>
      <c r="AE13" s="491">
        <v>400</v>
      </c>
    </row>
    <row r="14" spans="1:31" ht="18" customHeight="1" thickBot="1">
      <c r="A14" s="1449">
        <v>6</v>
      </c>
      <c r="B14" s="1390" t="s">
        <v>865</v>
      </c>
      <c r="C14" s="1406"/>
      <c r="D14" s="1406"/>
      <c r="E14" s="1464"/>
      <c r="F14" s="518" t="s">
        <v>842</v>
      </c>
      <c r="G14" s="1466"/>
      <c r="H14" s="1467"/>
      <c r="I14" s="1467"/>
      <c r="J14" s="1467"/>
      <c r="K14" s="1467"/>
      <c r="L14" s="1467"/>
      <c r="M14" s="1467"/>
      <c r="N14" s="1467"/>
      <c r="O14" s="1467"/>
      <c r="P14" s="1467"/>
      <c r="Q14" s="1467"/>
      <c r="R14" s="1467"/>
      <c r="S14" s="1467"/>
      <c r="T14" s="1467"/>
      <c r="U14" s="1467"/>
      <c r="V14" s="1467"/>
      <c r="W14" s="1467"/>
      <c r="X14" s="1467"/>
      <c r="Y14" s="1468"/>
      <c r="Z14" s="436"/>
      <c r="AA14" s="436"/>
      <c r="AB14" s="436"/>
      <c r="AC14" s="126"/>
    </row>
    <row r="15" spans="1:31" ht="40.5" customHeight="1" thickBot="1">
      <c r="A15" s="1451"/>
      <c r="B15" s="1392"/>
      <c r="C15" s="1393"/>
      <c r="D15" s="1393"/>
      <c r="E15" s="1465"/>
      <c r="F15" s="519" t="s">
        <v>866</v>
      </c>
      <c r="G15" s="1440"/>
      <c r="H15" s="1441"/>
      <c r="I15" s="1441"/>
      <c r="J15" s="1441"/>
      <c r="K15" s="1441"/>
      <c r="L15" s="1441"/>
      <c r="M15" s="1441"/>
      <c r="N15" s="1441"/>
      <c r="O15" s="1441"/>
      <c r="P15" s="1441"/>
      <c r="Q15" s="1441"/>
      <c r="R15" s="1441"/>
      <c r="S15" s="1441"/>
      <c r="T15" s="1441"/>
      <c r="U15" s="1441"/>
      <c r="V15" s="1441"/>
      <c r="W15" s="1441"/>
      <c r="X15" s="1441"/>
      <c r="Y15" s="1442"/>
      <c r="Z15" s="436"/>
      <c r="AA15" s="436"/>
      <c r="AB15" s="436"/>
      <c r="AC15" s="126"/>
    </row>
    <row r="16" spans="1:31" ht="18" customHeight="1" thickBot="1">
      <c r="A16" s="1449">
        <v>7</v>
      </c>
      <c r="B16" s="1452" t="s">
        <v>867</v>
      </c>
      <c r="C16" s="1391"/>
      <c r="D16" s="1454" t="s">
        <v>868</v>
      </c>
      <c r="E16" s="1455"/>
      <c r="F16" s="1455"/>
      <c r="G16" s="1455"/>
      <c r="H16" s="1455"/>
      <c r="I16" s="1456"/>
      <c r="J16" s="520">
        <v>2</v>
      </c>
      <c r="K16" s="387"/>
      <c r="L16" s="1457" t="s">
        <v>869</v>
      </c>
      <c r="M16" s="1458"/>
      <c r="N16" s="1458"/>
      <c r="O16" s="1458"/>
      <c r="P16" s="1458"/>
      <c r="Q16" s="1458"/>
      <c r="R16" s="1458"/>
      <c r="S16" s="1458"/>
      <c r="T16" s="1458"/>
      <c r="U16" s="1458"/>
      <c r="V16" s="1458"/>
      <c r="W16" s="1459"/>
      <c r="X16" s="520">
        <v>1</v>
      </c>
      <c r="Y16" s="521"/>
      <c r="AC16" s="126"/>
    </row>
    <row r="17" spans="1:31" ht="18" customHeight="1" thickBot="1">
      <c r="A17" s="1450"/>
      <c r="B17" s="1453"/>
      <c r="C17" s="1424"/>
      <c r="D17" s="1431"/>
      <c r="E17" s="1432"/>
      <c r="F17" s="1432"/>
      <c r="G17" s="1432"/>
      <c r="H17" s="1432"/>
      <c r="I17" s="1433"/>
      <c r="J17" s="288"/>
      <c r="K17" s="387"/>
      <c r="L17" s="1446"/>
      <c r="M17" s="1447"/>
      <c r="N17" s="1447"/>
      <c r="O17" s="1447"/>
      <c r="P17" s="1447"/>
      <c r="Q17" s="1447"/>
      <c r="R17" s="1447"/>
      <c r="S17" s="1447"/>
      <c r="T17" s="1447"/>
      <c r="U17" s="1447"/>
      <c r="V17" s="1447"/>
      <c r="W17" s="1448"/>
      <c r="X17" s="288"/>
      <c r="Y17" s="521"/>
      <c r="AA17" s="427" t="str">
        <f>IF(AND($F$7="病棟があります",OR(D17="",J17="")),"×","○")</f>
        <v>○</v>
      </c>
      <c r="AB17" s="427"/>
      <c r="AC17" s="126"/>
      <c r="AD17" s="491">
        <v>0</v>
      </c>
      <c r="AE17" s="500">
        <v>20</v>
      </c>
    </row>
    <row r="18" spans="1:31" ht="18" customHeight="1" thickBot="1">
      <c r="A18" s="1450"/>
      <c r="B18" s="1453"/>
      <c r="C18" s="1424"/>
      <c r="D18" s="1431"/>
      <c r="E18" s="1432"/>
      <c r="F18" s="1432"/>
      <c r="G18" s="1432"/>
      <c r="H18" s="1432"/>
      <c r="I18" s="1433"/>
      <c r="J18" s="288"/>
      <c r="K18" s="387"/>
      <c r="L18" s="1446"/>
      <c r="M18" s="1447"/>
      <c r="N18" s="1447"/>
      <c r="O18" s="1447"/>
      <c r="P18" s="1447"/>
      <c r="Q18" s="1447"/>
      <c r="R18" s="1447"/>
      <c r="S18" s="1447"/>
      <c r="T18" s="1447"/>
      <c r="U18" s="1447"/>
      <c r="V18" s="1447"/>
      <c r="W18" s="1448"/>
      <c r="X18" s="288"/>
      <c r="Y18" s="521"/>
      <c r="AC18" s="126"/>
      <c r="AD18" s="491">
        <v>0</v>
      </c>
      <c r="AE18" s="500">
        <v>20</v>
      </c>
    </row>
    <row r="19" spans="1:31" ht="18" customHeight="1" thickBot="1">
      <c r="A19" s="1450"/>
      <c r="B19" s="1453"/>
      <c r="C19" s="1424"/>
      <c r="D19" s="1431"/>
      <c r="E19" s="1432"/>
      <c r="F19" s="1432"/>
      <c r="G19" s="1432"/>
      <c r="H19" s="1432"/>
      <c r="I19" s="1433"/>
      <c r="J19" s="288"/>
      <c r="K19" s="387"/>
      <c r="L19" s="1446"/>
      <c r="M19" s="1447"/>
      <c r="N19" s="1447"/>
      <c r="O19" s="1447"/>
      <c r="P19" s="1447"/>
      <c r="Q19" s="1447"/>
      <c r="R19" s="1447"/>
      <c r="S19" s="1447"/>
      <c r="T19" s="1447"/>
      <c r="U19" s="1447"/>
      <c r="V19" s="1447"/>
      <c r="W19" s="1448"/>
      <c r="X19" s="288"/>
      <c r="Y19" s="521"/>
      <c r="AC19" s="126"/>
      <c r="AD19" s="491">
        <v>0</v>
      </c>
      <c r="AE19" s="500">
        <v>20</v>
      </c>
    </row>
    <row r="20" spans="1:31" ht="18" customHeight="1" thickBot="1">
      <c r="A20" s="1450"/>
      <c r="B20" s="1453"/>
      <c r="C20" s="1424"/>
      <c r="D20" s="1431"/>
      <c r="E20" s="1432"/>
      <c r="F20" s="1432"/>
      <c r="G20" s="1432"/>
      <c r="H20" s="1432"/>
      <c r="I20" s="1433"/>
      <c r="J20" s="288"/>
      <c r="K20" s="387"/>
      <c r="L20" s="1446"/>
      <c r="M20" s="1447"/>
      <c r="N20" s="1447"/>
      <c r="O20" s="1447"/>
      <c r="P20" s="1447"/>
      <c r="Q20" s="1447"/>
      <c r="R20" s="1447"/>
      <c r="S20" s="1447"/>
      <c r="T20" s="1447"/>
      <c r="U20" s="1447"/>
      <c r="V20" s="1447"/>
      <c r="W20" s="1448"/>
      <c r="X20" s="288"/>
      <c r="Y20" s="521"/>
      <c r="AC20" s="126"/>
      <c r="AD20" s="491">
        <v>0</v>
      </c>
      <c r="AE20" s="500">
        <v>20</v>
      </c>
    </row>
    <row r="21" spans="1:31" ht="18" customHeight="1" thickBot="1">
      <c r="A21" s="1450"/>
      <c r="B21" s="1453"/>
      <c r="C21" s="1424"/>
      <c r="D21" s="1431"/>
      <c r="E21" s="1432"/>
      <c r="F21" s="1432"/>
      <c r="G21" s="1432"/>
      <c r="H21" s="1432"/>
      <c r="I21" s="1433"/>
      <c r="J21" s="288"/>
      <c r="K21" s="387"/>
      <c r="L21" s="1446"/>
      <c r="M21" s="1447"/>
      <c r="N21" s="1447"/>
      <c r="O21" s="1447"/>
      <c r="P21" s="1447"/>
      <c r="Q21" s="1447"/>
      <c r="R21" s="1447"/>
      <c r="S21" s="1447"/>
      <c r="T21" s="1447"/>
      <c r="U21" s="1447"/>
      <c r="V21" s="1447"/>
      <c r="W21" s="1448"/>
      <c r="X21" s="288"/>
      <c r="Y21" s="521"/>
      <c r="AC21" s="126"/>
      <c r="AD21" s="491">
        <v>0</v>
      </c>
      <c r="AE21" s="500">
        <v>20</v>
      </c>
    </row>
    <row r="22" spans="1:31" ht="18" customHeight="1" thickBot="1">
      <c r="A22" s="1450"/>
      <c r="B22" s="1453"/>
      <c r="C22" s="1424"/>
      <c r="D22" s="1431"/>
      <c r="E22" s="1432"/>
      <c r="F22" s="1432"/>
      <c r="G22" s="1432"/>
      <c r="H22" s="1432"/>
      <c r="I22" s="1433"/>
      <c r="J22" s="288"/>
      <c r="K22" s="387"/>
      <c r="L22" s="1446"/>
      <c r="M22" s="1447"/>
      <c r="N22" s="1447"/>
      <c r="O22" s="1447"/>
      <c r="P22" s="1447"/>
      <c r="Q22" s="1447"/>
      <c r="R22" s="1447"/>
      <c r="S22" s="1447"/>
      <c r="T22" s="1447"/>
      <c r="U22" s="1447"/>
      <c r="V22" s="1447"/>
      <c r="W22" s="1448"/>
      <c r="X22" s="288"/>
      <c r="Y22" s="521"/>
      <c r="AC22" s="126"/>
      <c r="AD22" s="491">
        <v>0</v>
      </c>
      <c r="AE22" s="500">
        <v>20</v>
      </c>
    </row>
    <row r="23" spans="1:31" ht="18" customHeight="1" thickBot="1">
      <c r="A23" s="1450"/>
      <c r="B23" s="1453"/>
      <c r="C23" s="1424"/>
      <c r="D23" s="1431"/>
      <c r="E23" s="1432"/>
      <c r="F23" s="1432"/>
      <c r="G23" s="1432"/>
      <c r="H23" s="1432"/>
      <c r="I23" s="1433"/>
      <c r="J23" s="288"/>
      <c r="K23" s="387"/>
      <c r="L23" s="1446"/>
      <c r="M23" s="1447"/>
      <c r="N23" s="1447"/>
      <c r="O23" s="1447"/>
      <c r="P23" s="1447"/>
      <c r="Q23" s="1447"/>
      <c r="R23" s="1447"/>
      <c r="S23" s="1447"/>
      <c r="T23" s="1447"/>
      <c r="U23" s="1447"/>
      <c r="V23" s="1447"/>
      <c r="W23" s="1448"/>
      <c r="X23" s="288"/>
      <c r="Y23" s="521"/>
      <c r="AC23" s="126"/>
      <c r="AD23" s="491">
        <v>0</v>
      </c>
      <c r="AE23" s="500">
        <v>20</v>
      </c>
    </row>
    <row r="24" spans="1:31" ht="18" customHeight="1" thickBot="1">
      <c r="A24" s="1450"/>
      <c r="B24" s="1453"/>
      <c r="C24" s="1424"/>
      <c r="D24" s="1431"/>
      <c r="E24" s="1432"/>
      <c r="F24" s="1432"/>
      <c r="G24" s="1432"/>
      <c r="H24" s="1432"/>
      <c r="I24" s="1433"/>
      <c r="J24" s="288"/>
      <c r="K24" s="387"/>
      <c r="L24" s="1446"/>
      <c r="M24" s="1447"/>
      <c r="N24" s="1447"/>
      <c r="O24" s="1447"/>
      <c r="P24" s="1447"/>
      <c r="Q24" s="1447"/>
      <c r="R24" s="1447"/>
      <c r="S24" s="1447"/>
      <c r="T24" s="1447"/>
      <c r="U24" s="1447"/>
      <c r="V24" s="1447"/>
      <c r="W24" s="1448"/>
      <c r="X24" s="288"/>
      <c r="Y24" s="521"/>
      <c r="AC24" s="126"/>
      <c r="AD24" s="491">
        <v>0</v>
      </c>
      <c r="AE24" s="500">
        <v>20</v>
      </c>
    </row>
    <row r="25" spans="1:31" ht="18" customHeight="1" thickBot="1">
      <c r="A25" s="1450"/>
      <c r="B25" s="1453"/>
      <c r="C25" s="1424"/>
      <c r="D25" s="1431"/>
      <c r="E25" s="1432"/>
      <c r="F25" s="1432"/>
      <c r="G25" s="1432"/>
      <c r="H25" s="1432"/>
      <c r="I25" s="1433"/>
      <c r="J25" s="288"/>
      <c r="K25" s="387"/>
      <c r="L25" s="1446"/>
      <c r="M25" s="1447"/>
      <c r="N25" s="1447"/>
      <c r="O25" s="1447"/>
      <c r="P25" s="1447"/>
      <c r="Q25" s="1447"/>
      <c r="R25" s="1447"/>
      <c r="S25" s="1447"/>
      <c r="T25" s="1447"/>
      <c r="U25" s="1447"/>
      <c r="V25" s="1447"/>
      <c r="W25" s="1448"/>
      <c r="X25" s="288"/>
      <c r="Y25" s="521"/>
      <c r="AC25" s="126"/>
      <c r="AD25" s="491">
        <v>0</v>
      </c>
      <c r="AE25" s="500">
        <v>20</v>
      </c>
    </row>
    <row r="26" spans="1:31" ht="18" customHeight="1" thickBot="1">
      <c r="A26" s="1451"/>
      <c r="B26" s="1392"/>
      <c r="C26" s="1393"/>
      <c r="D26" s="1431"/>
      <c r="E26" s="1432"/>
      <c r="F26" s="1432"/>
      <c r="G26" s="1432"/>
      <c r="H26" s="1432"/>
      <c r="I26" s="1433"/>
      <c r="J26" s="288"/>
      <c r="K26" s="522"/>
      <c r="L26" s="1434"/>
      <c r="M26" s="1435"/>
      <c r="N26" s="1435"/>
      <c r="O26" s="1435"/>
      <c r="P26" s="1435"/>
      <c r="Q26" s="1435"/>
      <c r="R26" s="1435"/>
      <c r="S26" s="1435"/>
      <c r="T26" s="1435"/>
      <c r="U26" s="1435"/>
      <c r="V26" s="1435"/>
      <c r="W26" s="1436"/>
      <c r="X26" s="288"/>
      <c r="Y26" s="521"/>
      <c r="AC26" s="126"/>
      <c r="AD26" s="491">
        <v>0</v>
      </c>
      <c r="AE26" s="500">
        <v>20</v>
      </c>
    </row>
    <row r="27" spans="1:31" ht="18" customHeight="1" thickBot="1">
      <c r="A27" s="1412">
        <v>8</v>
      </c>
      <c r="B27" s="1421" t="s">
        <v>845</v>
      </c>
      <c r="C27" s="1422"/>
      <c r="D27" s="1423"/>
      <c r="E27" s="1423"/>
      <c r="F27" s="1424"/>
      <c r="G27" s="1424"/>
      <c r="H27" s="1424"/>
      <c r="I27" s="1424"/>
      <c r="J27" s="1424"/>
      <c r="K27" s="1424"/>
      <c r="L27" s="1424"/>
      <c r="M27" s="1424"/>
      <c r="N27" s="1424"/>
      <c r="O27" s="1424"/>
      <c r="P27" s="1424"/>
      <c r="Q27" s="1424"/>
      <c r="R27" s="1424"/>
      <c r="S27" s="1424"/>
      <c r="T27" s="1424"/>
      <c r="U27" s="1424"/>
      <c r="V27" s="1424"/>
      <c r="W27" s="1424"/>
      <c r="X27" s="1424"/>
      <c r="Y27" s="37"/>
      <c r="AA27" s="427" t="str">
        <f>IF(AND($F$7="病棟があります",Y27=""),"×","○")</f>
        <v>○</v>
      </c>
      <c r="AB27" s="427"/>
      <c r="AC27" s="126"/>
    </row>
    <row r="28" spans="1:31" ht="18" customHeight="1" thickBot="1">
      <c r="A28" s="1340"/>
      <c r="B28" s="1413" t="s">
        <v>846</v>
      </c>
      <c r="C28" s="1414"/>
      <c r="D28" s="1414"/>
      <c r="E28" s="1414"/>
      <c r="F28" s="1415"/>
      <c r="G28" s="1416"/>
      <c r="H28" s="1416"/>
      <c r="I28" s="1416"/>
      <c r="J28" s="1416"/>
      <c r="K28" s="1416"/>
      <c r="L28" s="1416"/>
      <c r="M28" s="1416"/>
      <c r="N28" s="1416"/>
      <c r="O28" s="1416"/>
      <c r="P28" s="1416"/>
      <c r="Q28" s="1416"/>
      <c r="R28" s="1416"/>
      <c r="S28" s="1416"/>
      <c r="T28" s="1416"/>
      <c r="U28" s="1416"/>
      <c r="V28" s="1416"/>
      <c r="W28" s="1416"/>
      <c r="X28" s="1416"/>
      <c r="Y28" s="1420"/>
      <c r="AA28" s="427" t="str">
        <f>IF(AND($Y$27="はい",F28=""),"×","○")</f>
        <v>○</v>
      </c>
      <c r="AB28" s="427"/>
      <c r="AC28" s="126"/>
    </row>
    <row r="29" spans="1:31" ht="18" customHeight="1" thickBot="1">
      <c r="A29" s="1340"/>
      <c r="B29" s="1413" t="s">
        <v>847</v>
      </c>
      <c r="C29" s="1418"/>
      <c r="D29" s="1418"/>
      <c r="E29" s="1419"/>
      <c r="F29" s="1415"/>
      <c r="G29" s="1416"/>
      <c r="H29" s="1416"/>
      <c r="I29" s="1416"/>
      <c r="J29" s="1416"/>
      <c r="K29" s="1416"/>
      <c r="L29" s="1416"/>
      <c r="M29" s="1416"/>
      <c r="N29" s="1416"/>
      <c r="O29" s="1420"/>
      <c r="P29" s="1352" t="s">
        <v>848</v>
      </c>
      <c r="Q29" s="1352"/>
      <c r="R29" s="1352"/>
      <c r="S29" s="1443"/>
      <c r="T29" s="1444"/>
      <c r="U29" s="1444"/>
      <c r="V29" s="1444"/>
      <c r="W29" s="1444"/>
      <c r="X29" s="1444"/>
      <c r="Y29" s="1445"/>
      <c r="AA29" s="427"/>
      <c r="AB29" s="427"/>
      <c r="AC29" s="126"/>
    </row>
    <row r="30" spans="1:31" ht="18" customHeight="1" thickBot="1">
      <c r="A30" s="1340"/>
      <c r="B30" s="1425" t="s">
        <v>870</v>
      </c>
      <c r="C30" s="1426"/>
      <c r="D30" s="1426"/>
      <c r="E30" s="1427"/>
      <c r="F30" s="518" t="s">
        <v>842</v>
      </c>
      <c r="G30" s="1437"/>
      <c r="H30" s="1438"/>
      <c r="I30" s="1438"/>
      <c r="J30" s="1438"/>
      <c r="K30" s="1438"/>
      <c r="L30" s="1438"/>
      <c r="M30" s="1438"/>
      <c r="N30" s="1438"/>
      <c r="O30" s="1438"/>
      <c r="P30" s="1438"/>
      <c r="Q30" s="1438"/>
      <c r="R30" s="1438"/>
      <c r="S30" s="1438"/>
      <c r="T30" s="1438"/>
      <c r="U30" s="1438"/>
      <c r="V30" s="1438"/>
      <c r="W30" s="1438"/>
      <c r="X30" s="1438"/>
      <c r="Y30" s="1439"/>
      <c r="AC30" s="126"/>
    </row>
    <row r="31" spans="1:31" ht="18" customHeight="1" thickBot="1">
      <c r="A31" s="1341"/>
      <c r="B31" s="1428"/>
      <c r="C31" s="1429"/>
      <c r="D31" s="1429"/>
      <c r="E31" s="1430"/>
      <c r="F31" s="519" t="s">
        <v>866</v>
      </c>
      <c r="G31" s="1440"/>
      <c r="H31" s="1441"/>
      <c r="I31" s="1441"/>
      <c r="J31" s="1441"/>
      <c r="K31" s="1441"/>
      <c r="L31" s="1441"/>
      <c r="M31" s="1441"/>
      <c r="N31" s="1441"/>
      <c r="O31" s="1441"/>
      <c r="P31" s="1441"/>
      <c r="Q31" s="1441"/>
      <c r="R31" s="1441"/>
      <c r="S31" s="1441"/>
      <c r="T31" s="1441"/>
      <c r="U31" s="1441"/>
      <c r="V31" s="1441"/>
      <c r="W31" s="1441"/>
      <c r="X31" s="1441"/>
      <c r="Y31" s="1442"/>
      <c r="AC31" s="126"/>
    </row>
    <row r="32" spans="1:31" ht="35.25" customHeight="1" thickBot="1">
      <c r="A32" s="1412">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40"/>
      <c r="B33" s="1413" t="s">
        <v>846</v>
      </c>
      <c r="C33" s="1414"/>
      <c r="D33" s="1414"/>
      <c r="E33" s="1414"/>
      <c r="F33" s="1415"/>
      <c r="G33" s="1416"/>
      <c r="H33" s="1416"/>
      <c r="I33" s="1416"/>
      <c r="J33" s="1416"/>
      <c r="K33" s="1416"/>
      <c r="L33" s="1416"/>
      <c r="M33" s="1416"/>
      <c r="N33" s="1416"/>
      <c r="O33" s="1416"/>
      <c r="P33" s="1416"/>
      <c r="Q33" s="1416"/>
      <c r="R33" s="1416"/>
      <c r="S33" s="1416"/>
      <c r="T33" s="1416"/>
      <c r="U33" s="1416"/>
      <c r="V33" s="1416"/>
      <c r="W33" s="1416"/>
      <c r="X33" s="1416"/>
      <c r="Y33" s="1417"/>
      <c r="AA33" s="427" t="str">
        <f>IF(AND($Y$32="はい",F33=""),"×","○")</f>
        <v>○</v>
      </c>
      <c r="AB33" s="427"/>
      <c r="AC33" s="126"/>
    </row>
    <row r="34" spans="1:29" ht="18" customHeight="1" thickBot="1">
      <c r="A34" s="1340"/>
      <c r="B34" s="1413" t="s">
        <v>847</v>
      </c>
      <c r="C34" s="1418"/>
      <c r="D34" s="1418"/>
      <c r="E34" s="1419"/>
      <c r="F34" s="1415"/>
      <c r="G34" s="1416"/>
      <c r="H34" s="1416"/>
      <c r="I34" s="1416"/>
      <c r="J34" s="1416"/>
      <c r="K34" s="1416"/>
      <c r="L34" s="1416"/>
      <c r="M34" s="1416"/>
      <c r="N34" s="1416"/>
      <c r="O34" s="1420"/>
      <c r="P34" s="1352" t="s">
        <v>848</v>
      </c>
      <c r="Q34" s="1352"/>
      <c r="R34" s="1352"/>
      <c r="S34" s="1443"/>
      <c r="T34" s="1444"/>
      <c r="U34" s="1444"/>
      <c r="V34" s="1444"/>
      <c r="W34" s="1444"/>
      <c r="X34" s="1444"/>
      <c r="Y34" s="1445"/>
      <c r="AC34" s="126"/>
    </row>
    <row r="35" spans="1:29" ht="18" customHeight="1" thickBot="1">
      <c r="A35" s="1340"/>
      <c r="B35" s="1398" t="s">
        <v>870</v>
      </c>
      <c r="C35" s="1399"/>
      <c r="D35" s="1399"/>
      <c r="E35" s="1400"/>
      <c r="F35" s="518" t="s">
        <v>842</v>
      </c>
      <c r="G35" s="1404"/>
      <c r="H35" s="1404"/>
      <c r="I35" s="1404"/>
      <c r="J35" s="1404"/>
      <c r="K35" s="1404"/>
      <c r="L35" s="1404"/>
      <c r="M35" s="1404"/>
      <c r="N35" s="1404"/>
      <c r="O35" s="1404"/>
      <c r="P35" s="1404"/>
      <c r="Q35" s="1404"/>
      <c r="R35" s="1404"/>
      <c r="S35" s="1404"/>
      <c r="T35" s="1404"/>
      <c r="U35" s="1404"/>
      <c r="V35" s="1404"/>
      <c r="W35" s="1404"/>
      <c r="X35" s="1404"/>
      <c r="Y35" s="1404"/>
      <c r="AC35" s="126"/>
    </row>
    <row r="36" spans="1:29" ht="18" customHeight="1" thickBot="1">
      <c r="A36" s="1341"/>
      <c r="B36" s="1401"/>
      <c r="C36" s="1402"/>
      <c r="D36" s="1402"/>
      <c r="E36" s="1403"/>
      <c r="F36" s="519" t="s">
        <v>866</v>
      </c>
      <c r="G36" s="1405"/>
      <c r="H36" s="1405"/>
      <c r="I36" s="1405"/>
      <c r="J36" s="1405"/>
      <c r="K36" s="1405"/>
      <c r="L36" s="1405"/>
      <c r="M36" s="1405"/>
      <c r="N36" s="1405"/>
      <c r="O36" s="1405"/>
      <c r="P36" s="1405"/>
      <c r="Q36" s="1405"/>
      <c r="R36" s="1405"/>
      <c r="S36" s="1405"/>
      <c r="T36" s="1405"/>
      <c r="U36" s="1405"/>
      <c r="V36" s="1405"/>
      <c r="W36" s="1405"/>
      <c r="X36" s="1405"/>
      <c r="Y36" s="1405"/>
      <c r="AC36" s="126"/>
    </row>
    <row r="37" spans="1:29" ht="35.25" customHeight="1" thickBot="1">
      <c r="A37" s="1312">
        <v>10</v>
      </c>
      <c r="B37" s="1390" t="s">
        <v>871</v>
      </c>
      <c r="C37" s="1406"/>
      <c r="D37" s="1407" t="s">
        <v>872</v>
      </c>
      <c r="E37" s="1408"/>
      <c r="F37" s="1408"/>
      <c r="G37" s="1409"/>
      <c r="H37" s="1409"/>
      <c r="I37" s="1409"/>
      <c r="J37" s="1409"/>
      <c r="K37" s="1409"/>
      <c r="L37" s="1409"/>
      <c r="M37" s="1409"/>
      <c r="N37" s="1409"/>
      <c r="O37" s="1409"/>
      <c r="P37" s="1409"/>
      <c r="Q37" s="1409"/>
      <c r="R37" s="1409"/>
      <c r="S37" s="1409"/>
      <c r="T37" s="1409"/>
      <c r="U37" s="1409"/>
      <c r="V37" s="1409"/>
      <c r="W37" s="1409"/>
      <c r="X37" s="1409"/>
      <c r="Y37" s="1410"/>
      <c r="AC37" s="126"/>
    </row>
    <row r="38" spans="1:29" ht="24.95" customHeight="1" thickBot="1">
      <c r="A38" s="1312"/>
      <c r="B38" s="1392"/>
      <c r="C38" s="1393"/>
      <c r="D38" s="1411"/>
      <c r="E38" s="1411"/>
      <c r="F38" s="1411"/>
      <c r="G38" s="1411"/>
      <c r="H38" s="1411"/>
      <c r="I38" s="1411"/>
      <c r="J38" s="1411"/>
      <c r="K38" s="1411"/>
      <c r="L38" s="1411"/>
      <c r="M38" s="1411"/>
      <c r="N38" s="1411"/>
      <c r="O38" s="1411"/>
      <c r="P38" s="1411"/>
      <c r="Q38" s="1411"/>
      <c r="R38" s="1411"/>
      <c r="S38" s="1411"/>
      <c r="T38" s="1411"/>
      <c r="U38" s="1411"/>
      <c r="V38" s="1411"/>
      <c r="W38" s="1411"/>
      <c r="X38" s="1411"/>
      <c r="Y38" s="1411"/>
      <c r="AA38" s="427" t="str">
        <f>IF(AND($F$7="病棟があります",D38=""),"×","○")</f>
        <v>○</v>
      </c>
      <c r="AB38" s="427"/>
      <c r="AC38" s="126"/>
    </row>
    <row r="39" spans="1:29" ht="33.75" customHeight="1" thickBot="1">
      <c r="A39" s="1309">
        <v>11</v>
      </c>
      <c r="B39" s="1390" t="s">
        <v>873</v>
      </c>
      <c r="C39" s="1391"/>
      <c r="D39" s="1394" t="s">
        <v>874</v>
      </c>
      <c r="E39" s="1395"/>
      <c r="F39" s="1395"/>
      <c r="G39" s="1395"/>
      <c r="H39" s="1395"/>
      <c r="I39" s="1395"/>
      <c r="J39" s="1395"/>
      <c r="K39" s="1395"/>
      <c r="L39" s="1395"/>
      <c r="M39" s="1395"/>
      <c r="N39" s="1395"/>
      <c r="O39" s="1395"/>
      <c r="P39" s="1395"/>
      <c r="Q39" s="1395"/>
      <c r="R39" s="1395"/>
      <c r="S39" s="1395"/>
      <c r="T39" s="1395"/>
      <c r="U39" s="1395"/>
      <c r="V39" s="1395"/>
      <c r="W39" s="1395"/>
      <c r="X39" s="1395"/>
      <c r="Y39" s="1396"/>
      <c r="AC39" s="126"/>
    </row>
    <row r="40" spans="1:29" ht="30" customHeight="1" thickBot="1">
      <c r="A40" s="1389"/>
      <c r="B40" s="1392"/>
      <c r="C40" s="1393"/>
      <c r="D40" s="1397"/>
      <c r="E40" s="1397"/>
      <c r="F40" s="1397"/>
      <c r="G40" s="1397"/>
      <c r="H40" s="1397"/>
      <c r="I40" s="1397"/>
      <c r="J40" s="1397"/>
      <c r="K40" s="1397"/>
      <c r="L40" s="1397"/>
      <c r="M40" s="1397"/>
      <c r="N40" s="1397"/>
      <c r="O40" s="1397"/>
      <c r="P40" s="1397"/>
      <c r="Q40" s="1397"/>
      <c r="R40" s="1397"/>
      <c r="S40" s="1397"/>
      <c r="T40" s="1397"/>
      <c r="U40" s="1397"/>
      <c r="V40" s="1397"/>
      <c r="W40" s="1397"/>
      <c r="X40" s="1397"/>
      <c r="Y40" s="1397"/>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4" t="s">
        <v>876</v>
      </c>
      <c r="B1" s="1484"/>
      <c r="C1" s="1484"/>
      <c r="D1" s="1484"/>
      <c r="E1" s="1484"/>
      <c r="F1" s="1484"/>
      <c r="G1" s="1484"/>
      <c r="H1" s="1484"/>
      <c r="I1" s="1484"/>
      <c r="J1" s="1484"/>
      <c r="M1" s="83"/>
    </row>
    <row r="2" spans="1:16" ht="24.95" customHeight="1" thickTop="1" thickBot="1">
      <c r="A2" s="1383" t="s">
        <v>877</v>
      </c>
      <c r="B2" s="1383"/>
      <c r="C2" s="1383"/>
      <c r="D2" s="1383"/>
      <c r="E2" s="1383"/>
      <c r="F2" s="1383"/>
      <c r="G2" s="1383"/>
      <c r="H2" s="1383"/>
      <c r="I2" s="1384"/>
      <c r="J2" s="388" t="str">
        <f>IF(COUNTIF(L7:L18,"×")=0,"入力済","未入力あり")</f>
        <v>入力済</v>
      </c>
      <c r="K2" s="1278"/>
      <c r="L2" s="452"/>
      <c r="M2" s="83"/>
    </row>
    <row r="3" spans="1:16" ht="5.0999999999999996" customHeight="1" thickTop="1">
      <c r="K3" s="1278"/>
      <c r="L3" s="452"/>
      <c r="M3" s="83"/>
    </row>
    <row r="4" spans="1:16" ht="20.100000000000001" customHeight="1">
      <c r="F4" s="528" t="s">
        <v>725</v>
      </c>
      <c r="G4" s="1485" t="str">
        <f>表紙!E2</f>
        <v>医療法人徳洲会　松原徳洲会病院</v>
      </c>
      <c r="H4" s="1486"/>
      <c r="I4" s="1486"/>
      <c r="J4" s="1487"/>
      <c r="K4" s="1278"/>
      <c r="L4" s="452"/>
      <c r="M4" s="83"/>
      <c r="N4" s="390"/>
    </row>
    <row r="5" spans="1:16" ht="20.100000000000001" customHeight="1">
      <c r="F5" s="528" t="s">
        <v>878</v>
      </c>
      <c r="G5" t="str">
        <f>別紙1未充足要件!E5</f>
        <v>令和７年９月１日時点</v>
      </c>
      <c r="I5" s="529"/>
      <c r="J5" s="529"/>
      <c r="K5" s="1278"/>
      <c r="L5" s="452"/>
      <c r="M5" s="83"/>
      <c r="N5" s="530" t="s">
        <v>204</v>
      </c>
    </row>
    <row r="6" spans="1:16" ht="18" customHeight="1" thickBot="1">
      <c r="A6" s="1488" t="s">
        <v>879</v>
      </c>
      <c r="B6" s="1489"/>
      <c r="C6" s="1489"/>
      <c r="D6" s="1489"/>
      <c r="E6" s="1489"/>
      <c r="F6" s="1489"/>
      <c r="G6" s="1489"/>
      <c r="H6" s="1489"/>
      <c r="I6" s="1489"/>
      <c r="J6" s="1490"/>
      <c r="K6" s="452"/>
      <c r="L6" s="452"/>
      <c r="M6" s="83"/>
      <c r="N6" s="74"/>
    </row>
    <row r="7" spans="1:16" ht="18" customHeight="1" thickBot="1">
      <c r="A7" t="s">
        <v>1684</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3</v>
      </c>
      <c r="I8" s="531" t="s">
        <v>881</v>
      </c>
      <c r="J8" s="532"/>
      <c r="K8" s="152"/>
      <c r="L8" s="533" t="str">
        <f>IF(H8&lt;&gt;"","○","×")</f>
        <v>○</v>
      </c>
      <c r="M8" s="83"/>
      <c r="N8" s="74"/>
      <c r="O8" s="333">
        <v>0</v>
      </c>
      <c r="P8" s="334">
        <v>50</v>
      </c>
    </row>
    <row r="9" spans="1:16" ht="29.25" customHeight="1">
      <c r="A9" s="535" t="s">
        <v>883</v>
      </c>
      <c r="B9" s="1496" t="s">
        <v>884</v>
      </c>
      <c r="C9" s="1496"/>
      <c r="D9" s="1496"/>
      <c r="E9" s="1496"/>
      <c r="F9" s="1496"/>
      <c r="G9" s="1496"/>
      <c r="H9" s="1496"/>
      <c r="I9" s="1496"/>
      <c r="J9" s="1497"/>
      <c r="K9" s="452"/>
      <c r="L9" s="536"/>
      <c r="M9" s="83"/>
      <c r="N9" s="74"/>
    </row>
    <row r="10" spans="1:16" ht="18.75" customHeight="1">
      <c r="A10" s="537" t="s">
        <v>885</v>
      </c>
      <c r="B10" s="1498" t="s">
        <v>886</v>
      </c>
      <c r="C10" s="1498"/>
      <c r="D10" s="1498"/>
      <c r="E10" s="1498"/>
      <c r="F10" s="1498"/>
      <c r="G10" s="1498"/>
      <c r="H10" s="1498"/>
      <c r="I10" s="1498"/>
      <c r="J10" s="1499"/>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500" t="s">
        <v>887</v>
      </c>
      <c r="B12" s="1500"/>
      <c r="C12" s="1500"/>
      <c r="D12" s="1500"/>
      <c r="E12" s="1500"/>
      <c r="F12" s="1501"/>
      <c r="G12" s="541"/>
      <c r="H12" s="288">
        <v>0</v>
      </c>
      <c r="I12" s="542" t="s">
        <v>862</v>
      </c>
      <c r="J12" s="532"/>
      <c r="K12" s="152"/>
      <c r="L12" s="547" t="str">
        <f>IF(AND(H12&lt;&gt;0,H12=""),"×","○")</f>
        <v>○</v>
      </c>
      <c r="M12" s="83"/>
      <c r="N12" s="74"/>
      <c r="O12" s="333">
        <v>0</v>
      </c>
      <c r="P12" s="334">
        <v>10</v>
      </c>
    </row>
    <row r="13" spans="1:16" ht="20.100000000000001" customHeight="1" thickBot="1">
      <c r="A13" s="1502" t="s">
        <v>1685</v>
      </c>
      <c r="B13" s="1502"/>
      <c r="C13" s="1502"/>
      <c r="D13" s="1502"/>
      <c r="E13" s="1502"/>
      <c r="F13" s="1503"/>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500" t="s">
        <v>889</v>
      </c>
      <c r="B15" s="1500"/>
      <c r="C15" s="1500"/>
      <c r="D15" s="1500"/>
      <c r="E15" s="1500"/>
      <c r="F15" s="1501"/>
      <c r="G15" s="541"/>
      <c r="H15" s="37" t="s">
        <v>1777</v>
      </c>
      <c r="I15" s="542"/>
      <c r="J15" s="532"/>
      <c r="K15" s="152"/>
      <c r="L15" s="533" t="str">
        <f>IF(H15&lt;&gt;"","○","×")</f>
        <v>○</v>
      </c>
      <c r="M15" s="83"/>
      <c r="N15" s="74"/>
    </row>
    <row r="16" spans="1:16" ht="20.100000000000001" customHeight="1" thickBot="1">
      <c r="A16" s="1491" t="s">
        <v>1686</v>
      </c>
      <c r="B16" s="1491"/>
      <c r="C16" s="1491"/>
      <c r="D16" s="1491"/>
      <c r="E16" s="1491"/>
      <c r="F16" s="1492"/>
      <c r="G16" s="546"/>
      <c r="H16" s="288">
        <v>3</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3"/>
      <c r="B18" s="1494"/>
      <c r="C18" s="1494"/>
      <c r="D18" s="1494"/>
      <c r="E18" s="1494"/>
      <c r="F18" s="1494"/>
      <c r="G18" s="1494"/>
      <c r="H18" s="1494"/>
      <c r="I18" s="1495"/>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17" sqref="D17:F17"/>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09" t="s">
        <v>1655</v>
      </c>
      <c r="B1" s="1509"/>
      <c r="C1" s="1509"/>
      <c r="D1" s="1509"/>
      <c r="E1" s="1509"/>
      <c r="F1" s="1509"/>
      <c r="G1" s="549"/>
      <c r="H1" s="549"/>
      <c r="I1" s="84"/>
      <c r="J1" s="550"/>
    </row>
    <row r="2" spans="1:10" ht="6" customHeight="1" thickBot="1">
      <c r="A2" s="552"/>
      <c r="B2" s="552"/>
      <c r="C2" s="552"/>
      <c r="D2" s="552"/>
      <c r="E2" s="552"/>
      <c r="F2" s="552"/>
      <c r="G2" s="549"/>
      <c r="H2" s="549"/>
      <c r="I2" s="84"/>
      <c r="J2" s="550"/>
    </row>
    <row r="3" spans="1:10" ht="20.25" customHeight="1" thickTop="1" thickBot="1">
      <c r="A3" s="1383" t="s">
        <v>832</v>
      </c>
      <c r="B3" s="1383"/>
      <c r="C3" s="1383"/>
      <c r="D3" s="1383"/>
      <c r="E3" s="1384"/>
      <c r="F3" s="388" t="str">
        <f>IF(COUNTIF(H13:H42,"×")&gt;=1,"未入力あり","入力済")</f>
        <v>入力済</v>
      </c>
      <c r="G3" s="1504"/>
      <c r="H3" s="553"/>
      <c r="I3" s="84"/>
    </row>
    <row r="4" spans="1:10" ht="19.5" thickTop="1">
      <c r="A4" s="1510"/>
      <c r="B4" s="1510"/>
      <c r="C4" s="1510"/>
      <c r="D4" s="1510"/>
      <c r="E4" s="1510"/>
      <c r="F4" s="1510"/>
      <c r="G4" s="1504"/>
      <c r="H4" s="553"/>
      <c r="I4" s="84"/>
    </row>
    <row r="5" spans="1:10">
      <c r="A5" s="549"/>
      <c r="B5" s="549"/>
      <c r="C5" s="555"/>
      <c r="D5" s="549"/>
      <c r="E5" s="883" t="s">
        <v>731</v>
      </c>
      <c r="F5" s="557" t="str">
        <f>表紙!E2</f>
        <v>医療法人徳洲会　松原徳洲会病院</v>
      </c>
      <c r="G5" s="1504"/>
      <c r="H5" s="553"/>
      <c r="I5" s="558"/>
      <c r="J5" s="139" t="s">
        <v>891</v>
      </c>
    </row>
    <row r="6" spans="1:10">
      <c r="A6" s="549"/>
      <c r="B6" s="549"/>
      <c r="C6" s="555"/>
      <c r="D6" s="549"/>
      <c r="E6" s="1097" t="s">
        <v>1598</v>
      </c>
      <c r="F6" s="559" t="str">
        <f>別紙1未充足要件!E5</f>
        <v>令和７年９月１日時点</v>
      </c>
      <c r="G6" s="1504"/>
      <c r="H6" s="553"/>
      <c r="I6" s="560"/>
      <c r="J6" s="129"/>
    </row>
    <row r="7" spans="1:10">
      <c r="A7" s="561" t="s">
        <v>893</v>
      </c>
      <c r="B7" s="549"/>
      <c r="C7" s="555"/>
      <c r="D7" s="549"/>
      <c r="E7" s="556"/>
      <c r="F7" s="562"/>
      <c r="G7" s="549"/>
      <c r="H7" s="549"/>
      <c r="I7" s="560"/>
      <c r="J7" s="129"/>
    </row>
    <row r="8" spans="1:10" ht="25.5" customHeight="1">
      <c r="A8" s="563"/>
      <c r="B8" s="1508" t="s">
        <v>1656</v>
      </c>
      <c r="C8" s="1508"/>
      <c r="D8" s="1508"/>
      <c r="E8" s="1508"/>
      <c r="F8" s="1508"/>
      <c r="G8" s="549"/>
      <c r="H8" s="549"/>
      <c r="I8" s="560"/>
      <c r="J8" s="129"/>
    </row>
    <row r="9" spans="1:10" ht="19.5" customHeight="1">
      <c r="A9" s="563"/>
      <c r="B9" s="564"/>
      <c r="C9" s="564"/>
      <c r="D9" s="564"/>
      <c r="E9" s="564"/>
      <c r="F9" s="564"/>
      <c r="G9" s="549"/>
      <c r="H9" s="549"/>
      <c r="I9" s="560"/>
      <c r="J9" s="129"/>
    </row>
    <row r="10" spans="1:10" ht="19.5" customHeight="1" thickBot="1">
      <c r="A10" s="1511" t="s">
        <v>894</v>
      </c>
      <c r="B10" s="1512"/>
      <c r="C10" s="1512"/>
      <c r="D10" s="1512"/>
      <c r="E10" s="1512"/>
      <c r="F10" s="1512"/>
      <c r="G10" s="562"/>
      <c r="H10" s="562"/>
      <c r="J10" s="129"/>
    </row>
    <row r="11" spans="1:10" ht="27" customHeight="1" thickBot="1">
      <c r="A11" s="565"/>
      <c r="B11" s="566" t="s">
        <v>895</v>
      </c>
      <c r="C11" s="566" t="s">
        <v>896</v>
      </c>
      <c r="D11" s="1506" t="s">
        <v>897</v>
      </c>
      <c r="E11" s="1506"/>
      <c r="F11" s="1506"/>
      <c r="G11" s="562"/>
      <c r="H11" s="562"/>
      <c r="J11" s="129"/>
    </row>
    <row r="12" spans="1:10" ht="21" customHeight="1" thickBot="1">
      <c r="A12" s="567" t="s">
        <v>898</v>
      </c>
      <c r="B12" s="568" t="s">
        <v>899</v>
      </c>
      <c r="C12" s="567" t="s">
        <v>900</v>
      </c>
      <c r="D12" s="1507" t="s">
        <v>901</v>
      </c>
      <c r="E12" s="1507"/>
      <c r="F12" s="1507"/>
      <c r="G12" s="562"/>
      <c r="H12" s="562"/>
      <c r="J12" s="129"/>
    </row>
    <row r="13" spans="1:10" ht="21" customHeight="1" thickBot="1">
      <c r="A13" s="569">
        <v>1</v>
      </c>
      <c r="B13" s="101" t="s">
        <v>1018</v>
      </c>
      <c r="C13" s="52" t="s">
        <v>1825</v>
      </c>
      <c r="D13" s="1505" t="s">
        <v>1826</v>
      </c>
      <c r="E13" s="1505"/>
      <c r="F13" s="1505"/>
      <c r="G13" s="562"/>
      <c r="H13" s="551" t="str">
        <f>IF(AND(B13&lt;&gt;"",C13&lt;&gt;""),"○","×")</f>
        <v>○</v>
      </c>
      <c r="J13" s="129"/>
    </row>
    <row r="14" spans="1:10" ht="21" customHeight="1" thickBot="1">
      <c r="A14" s="569">
        <v>2</v>
      </c>
      <c r="B14" s="101" t="s">
        <v>241</v>
      </c>
      <c r="C14" s="52" t="s">
        <v>1825</v>
      </c>
      <c r="D14" s="1505"/>
      <c r="E14" s="1505"/>
      <c r="F14" s="1505"/>
      <c r="G14" s="562"/>
      <c r="H14" s="562"/>
      <c r="J14" s="129"/>
    </row>
    <row r="15" spans="1:10" ht="21" customHeight="1" thickBot="1">
      <c r="A15" s="569">
        <v>3</v>
      </c>
      <c r="B15" s="101" t="s">
        <v>241</v>
      </c>
      <c r="C15" s="52" t="s">
        <v>1825</v>
      </c>
      <c r="D15" s="1505"/>
      <c r="E15" s="1505"/>
      <c r="F15" s="1505"/>
      <c r="G15" s="562"/>
      <c r="H15" s="562"/>
      <c r="J15" s="129"/>
    </row>
    <row r="16" spans="1:10" ht="21" customHeight="1" thickBot="1">
      <c r="A16" s="569">
        <v>4</v>
      </c>
      <c r="B16" s="101" t="s">
        <v>1827</v>
      </c>
      <c r="C16" s="52" t="s">
        <v>1825</v>
      </c>
      <c r="D16" s="1505"/>
      <c r="E16" s="1505"/>
      <c r="F16" s="1505"/>
      <c r="G16" s="562"/>
      <c r="H16" s="562"/>
      <c r="J16" s="129"/>
    </row>
    <row r="17" spans="1:10" ht="21" customHeight="1" thickBot="1">
      <c r="A17" s="569">
        <v>5</v>
      </c>
      <c r="B17" s="101" t="s">
        <v>1828</v>
      </c>
      <c r="C17" s="52" t="s">
        <v>1825</v>
      </c>
      <c r="D17" s="1505"/>
      <c r="E17" s="1505"/>
      <c r="F17" s="1505"/>
      <c r="G17" s="562"/>
      <c r="H17" s="562"/>
      <c r="J17" s="129"/>
    </row>
    <row r="18" spans="1:10" ht="21" customHeight="1" thickBot="1">
      <c r="A18" s="569">
        <v>6</v>
      </c>
      <c r="B18" s="101" t="s">
        <v>1829</v>
      </c>
      <c r="C18" s="52" t="s">
        <v>1830</v>
      </c>
      <c r="D18" s="1505"/>
      <c r="E18" s="1505"/>
      <c r="F18" s="1505"/>
      <c r="G18" s="562"/>
      <c r="H18" s="562"/>
      <c r="J18" s="129"/>
    </row>
    <row r="19" spans="1:10" ht="21" customHeight="1" thickBot="1">
      <c r="A19" s="569">
        <v>7</v>
      </c>
      <c r="B19" s="101" t="s">
        <v>1831</v>
      </c>
      <c r="C19" s="52" t="s">
        <v>1825</v>
      </c>
      <c r="D19" s="1505" t="s">
        <v>1832</v>
      </c>
      <c r="E19" s="1505"/>
      <c r="F19" s="1505"/>
      <c r="G19" s="562"/>
      <c r="H19" s="562"/>
      <c r="J19" s="129"/>
    </row>
    <row r="20" spans="1:10" ht="21" customHeight="1" thickBot="1">
      <c r="A20" s="569">
        <v>8</v>
      </c>
      <c r="B20" s="101" t="s">
        <v>1831</v>
      </c>
      <c r="C20" s="52" t="s">
        <v>1825</v>
      </c>
      <c r="D20" s="1505"/>
      <c r="E20" s="1505"/>
      <c r="F20" s="1505"/>
      <c r="G20" s="562"/>
      <c r="H20" s="562"/>
      <c r="J20" s="129"/>
    </row>
    <row r="21" spans="1:10" ht="21" customHeight="1" thickBot="1">
      <c r="A21" s="569">
        <v>9</v>
      </c>
      <c r="B21" s="101" t="s">
        <v>1833</v>
      </c>
      <c r="C21" s="52" t="s">
        <v>1825</v>
      </c>
      <c r="D21" s="1505"/>
      <c r="E21" s="1505"/>
      <c r="F21" s="1505"/>
      <c r="G21" s="562"/>
      <c r="H21" s="562"/>
      <c r="J21" s="129"/>
    </row>
    <row r="22" spans="1:10" ht="21" customHeight="1" thickBot="1">
      <c r="A22" s="569">
        <v>10</v>
      </c>
      <c r="B22" s="101" t="s">
        <v>899</v>
      </c>
      <c r="C22" s="52" t="s">
        <v>1825</v>
      </c>
      <c r="D22" s="1505"/>
      <c r="E22" s="1505"/>
      <c r="F22" s="1505"/>
      <c r="G22" s="562"/>
      <c r="H22" s="562"/>
      <c r="J22" s="129"/>
    </row>
    <row r="23" spans="1:10" ht="21" customHeight="1" thickBot="1">
      <c r="A23" s="569">
        <v>11</v>
      </c>
      <c r="B23" s="101" t="s">
        <v>1834</v>
      </c>
      <c r="C23" s="52" t="s">
        <v>1825</v>
      </c>
      <c r="D23" s="1505"/>
      <c r="E23" s="1505"/>
      <c r="F23" s="1505"/>
      <c r="G23" s="562"/>
      <c r="H23" s="562"/>
      <c r="J23" s="129"/>
    </row>
    <row r="24" spans="1:10" ht="21" customHeight="1" thickBot="1">
      <c r="A24" s="569">
        <v>12</v>
      </c>
      <c r="B24" s="101"/>
      <c r="C24" s="52"/>
      <c r="D24" s="1505"/>
      <c r="E24" s="1505"/>
      <c r="F24" s="1505"/>
      <c r="G24" s="562"/>
      <c r="H24" s="562"/>
      <c r="J24" s="129"/>
    </row>
    <row r="25" spans="1:10" ht="21" customHeight="1" thickBot="1">
      <c r="A25" s="569">
        <v>13</v>
      </c>
      <c r="B25" s="101"/>
      <c r="C25" s="52"/>
      <c r="D25" s="1505"/>
      <c r="E25" s="1505"/>
      <c r="F25" s="1505"/>
      <c r="G25" s="562"/>
      <c r="H25" s="562"/>
      <c r="J25" s="129"/>
    </row>
    <row r="26" spans="1:10" ht="21" customHeight="1" thickBot="1">
      <c r="A26" s="569">
        <v>14</v>
      </c>
      <c r="B26" s="101"/>
      <c r="C26" s="52"/>
      <c r="D26" s="1505"/>
      <c r="E26" s="1505"/>
      <c r="F26" s="1505"/>
      <c r="G26" s="562"/>
      <c r="H26" s="562"/>
      <c r="J26" s="129"/>
    </row>
    <row r="27" spans="1:10" ht="21" customHeight="1" thickBot="1">
      <c r="A27" s="569">
        <v>15</v>
      </c>
      <c r="B27" s="101"/>
      <c r="C27" s="52"/>
      <c r="D27" s="1505"/>
      <c r="E27" s="1505"/>
      <c r="F27" s="1505"/>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6" t="s">
        <v>1649</v>
      </c>
      <c r="B30" s="1516"/>
      <c r="C30" s="1516"/>
      <c r="D30" s="1167">
        <v>2</v>
      </c>
      <c r="E30" s="1168" t="s">
        <v>1835</v>
      </c>
      <c r="F30" s="1165"/>
      <c r="H30" s="551" t="str">
        <f>IF(AND(D30&lt;&gt;"",E30&lt;&gt;""),"○","×")</f>
        <v>○</v>
      </c>
    </row>
    <row r="31" spans="1:10" ht="19.5" thickBot="1">
      <c r="A31" s="1516" t="s">
        <v>1650</v>
      </c>
      <c r="B31" s="1516"/>
      <c r="C31" s="1516"/>
      <c r="D31" s="1167">
        <v>1</v>
      </c>
      <c r="E31" s="1168" t="s">
        <v>1835</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7" t="s">
        <v>1652</v>
      </c>
      <c r="B34" s="1518"/>
      <c r="C34" s="1518"/>
      <c r="D34" s="1518"/>
      <c r="E34" s="1518"/>
      <c r="F34" s="1519"/>
    </row>
    <row r="35" spans="1:8" ht="19.5" thickBot="1">
      <c r="A35" s="1517"/>
      <c r="B35" s="1518"/>
      <c r="C35" s="1518"/>
      <c r="D35" s="1518"/>
      <c r="E35" s="1518"/>
      <c r="F35" s="1519"/>
    </row>
    <row r="36" spans="1:8" ht="19.5" thickBot="1">
      <c r="A36" s="1520" t="s">
        <v>1836</v>
      </c>
      <c r="B36" s="1521"/>
      <c r="C36" s="1521"/>
      <c r="D36" s="1521"/>
      <c r="E36" s="1521"/>
      <c r="F36" s="1522"/>
      <c r="H36" s="551" t="str">
        <f>IF(A36="","×","○")</f>
        <v>○</v>
      </c>
    </row>
    <row r="37" spans="1:8" ht="19.5" thickBot="1">
      <c r="A37" s="1520"/>
      <c r="B37" s="1521"/>
      <c r="C37" s="1521"/>
      <c r="D37" s="1521"/>
      <c r="E37" s="1521"/>
      <c r="F37" s="1522"/>
    </row>
    <row r="38" spans="1:8" ht="19.5" thickBot="1">
      <c r="A38" s="1517" t="s">
        <v>1653</v>
      </c>
      <c r="B38" s="1518"/>
      <c r="C38" s="1518"/>
      <c r="D38" s="1518"/>
      <c r="E38" s="1518"/>
      <c r="F38" s="1519"/>
    </row>
    <row r="39" spans="1:8" ht="19.5" thickBot="1">
      <c r="A39" s="1517"/>
      <c r="B39" s="1518"/>
      <c r="C39" s="1518"/>
      <c r="D39" s="1518"/>
      <c r="E39" s="1518"/>
      <c r="F39" s="1519"/>
    </row>
    <row r="40" spans="1:8" ht="19.5" thickBot="1">
      <c r="A40" s="1517"/>
      <c r="B40" s="1518"/>
      <c r="C40" s="1518"/>
      <c r="D40" s="1518"/>
      <c r="E40" s="1518"/>
      <c r="F40" s="1519"/>
    </row>
    <row r="41" spans="1:8" ht="19.5" thickBot="1">
      <c r="A41" s="1513" t="s">
        <v>1837</v>
      </c>
      <c r="B41" s="1514"/>
      <c r="C41" s="1514"/>
      <c r="D41" s="1514"/>
      <c r="E41" s="1514"/>
      <c r="F41" s="1515"/>
      <c r="H41" s="551" t="str">
        <f>IF(A41="","×","○")</f>
        <v>○</v>
      </c>
    </row>
    <row r="42" spans="1:8" ht="19.5" thickBot="1">
      <c r="A42" s="1513"/>
      <c r="B42" s="1514"/>
      <c r="C42" s="1514"/>
      <c r="D42" s="1514"/>
      <c r="E42" s="1514"/>
      <c r="F42" s="1515"/>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0" t="s">
        <v>903</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1270"/>
      <c r="Z1" s="573"/>
      <c r="AA1" s="573"/>
      <c r="AB1" s="83"/>
      <c r="AC1" s="574"/>
    </row>
    <row r="2" spans="1:29" ht="24.95" customHeight="1" thickTop="1" thickBot="1">
      <c r="A2" s="1383" t="s">
        <v>877</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IF(COUNTIF(AA7:AA11,"×")&gt;=1,"未入力あり","入力済")</f>
        <v>入力済</v>
      </c>
      <c r="Z2" s="1278"/>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8"/>
      <c r="AA3" s="452"/>
    </row>
    <row r="4" spans="1:29" ht="20.25" customHeight="1">
      <c r="A4" s="437"/>
      <c r="B4" s="437"/>
      <c r="C4" s="437"/>
      <c r="D4" s="437"/>
      <c r="E4" s="437"/>
      <c r="F4" s="391" t="s">
        <v>725</v>
      </c>
      <c r="G4" s="1481">
        <f>表紙!A2</f>
        <v>0</v>
      </c>
      <c r="H4" s="1482"/>
      <c r="I4" s="1482"/>
      <c r="J4" s="1482"/>
      <c r="K4" s="1482"/>
      <c r="L4" s="1482"/>
      <c r="M4" s="1482"/>
      <c r="N4" s="1482"/>
      <c r="O4" s="1482"/>
      <c r="P4" s="1482"/>
      <c r="Q4" s="1482"/>
      <c r="R4" s="1482"/>
      <c r="S4" s="1482"/>
      <c r="T4" s="1482"/>
      <c r="U4" s="1482"/>
      <c r="V4" s="1482"/>
      <c r="W4" s="1482"/>
      <c r="X4" s="1482"/>
      <c r="Y4" s="1483"/>
      <c r="Z4" s="1278"/>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8"/>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9">
        <v>1</v>
      </c>
      <c r="B7" s="576" t="s">
        <v>904</v>
      </c>
      <c r="C7" s="577"/>
      <c r="D7" s="577"/>
      <c r="E7" s="577"/>
      <c r="F7" s="578"/>
      <c r="G7" s="578"/>
      <c r="H7" s="579"/>
      <c r="I7" s="1523" t="s">
        <v>1776</v>
      </c>
      <c r="J7" s="1524"/>
      <c r="K7" s="1524"/>
      <c r="L7" s="1524"/>
      <c r="M7" s="1525"/>
      <c r="N7" s="1540" t="s">
        <v>478</v>
      </c>
      <c r="O7" s="1541"/>
      <c r="P7" s="1541"/>
      <c r="Q7" s="1541"/>
      <c r="R7" s="1541"/>
      <c r="S7" s="1541"/>
      <c r="T7" s="1541"/>
      <c r="U7" s="580"/>
      <c r="V7" s="559"/>
      <c r="W7" s="559"/>
      <c r="X7" s="559"/>
      <c r="Y7" s="581"/>
      <c r="Z7" s="582"/>
      <c r="AA7" s="583" t="str">
        <f>IF(I7="","×","○")</f>
        <v>○</v>
      </c>
      <c r="AC7" s="125"/>
    </row>
    <row r="8" spans="1:29" ht="18" customHeight="1" thickBot="1">
      <c r="A8" s="1451"/>
      <c r="B8" s="584" t="s">
        <v>905</v>
      </c>
      <c r="C8" s="585"/>
      <c r="D8" s="585"/>
      <c r="E8" s="585"/>
      <c r="F8" s="504"/>
      <c r="G8" s="504"/>
      <c r="H8" s="505"/>
      <c r="I8" s="1523"/>
      <c r="J8" s="1524"/>
      <c r="K8" s="1524"/>
      <c r="L8" s="1524"/>
      <c r="M8" s="1525"/>
      <c r="N8" s="1526" t="s">
        <v>478</v>
      </c>
      <c r="O8" s="1527"/>
      <c r="P8" s="1527"/>
      <c r="Q8" s="1527"/>
      <c r="R8" s="1527"/>
      <c r="S8" s="1527"/>
      <c r="T8" s="1527"/>
      <c r="U8" s="51"/>
      <c r="V8" s="49"/>
      <c r="W8" s="49"/>
      <c r="X8" s="49"/>
      <c r="Y8" s="586"/>
      <c r="Z8" s="582"/>
      <c r="AA8" s="583" t="str">
        <f>IF(AND(I7="はい",I8=""),"×","○")</f>
        <v>○</v>
      </c>
      <c r="AC8" s="125"/>
    </row>
    <row r="9" spans="1:29" ht="31.5" customHeight="1" thickBot="1">
      <c r="A9" s="1333">
        <v>2</v>
      </c>
      <c r="B9" s="1528" t="s">
        <v>906</v>
      </c>
      <c r="C9" s="1529"/>
      <c r="D9" s="1529"/>
      <c r="E9" s="1529"/>
      <c r="F9" s="1529"/>
      <c r="G9" s="1529"/>
      <c r="H9" s="1530"/>
      <c r="I9" s="1523"/>
      <c r="J9" s="1524"/>
      <c r="K9" s="1524"/>
      <c r="L9" s="1524"/>
      <c r="M9" s="1525"/>
      <c r="N9" s="1526" t="s">
        <v>478</v>
      </c>
      <c r="O9" s="1527"/>
      <c r="P9" s="1527"/>
      <c r="Q9" s="1527"/>
      <c r="R9" s="1527"/>
      <c r="S9" s="1527"/>
      <c r="T9" s="1527"/>
      <c r="V9" s="49"/>
      <c r="W9" s="49"/>
      <c r="X9" s="49"/>
      <c r="Y9" s="586"/>
      <c r="Z9" s="51"/>
      <c r="AA9" s="583" t="str">
        <f>IF(AND(I7="はい",I9=""),"×","○")</f>
        <v>○</v>
      </c>
      <c r="AC9" s="125"/>
    </row>
    <row r="10" spans="1:29" ht="13.5">
      <c r="A10" s="1334"/>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4"/>
      <c r="B11" s="1531"/>
      <c r="C11" s="1532"/>
      <c r="D11" s="1532"/>
      <c r="E11" s="1532"/>
      <c r="F11" s="1532"/>
      <c r="G11" s="1532"/>
      <c r="H11" s="1532"/>
      <c r="I11" s="1532"/>
      <c r="J11" s="1532"/>
      <c r="K11" s="1532"/>
      <c r="L11" s="1532"/>
      <c r="M11" s="1532"/>
      <c r="N11" s="1532"/>
      <c r="O11" s="1532"/>
      <c r="P11" s="1532"/>
      <c r="Q11" s="1532"/>
      <c r="R11" s="1532"/>
      <c r="S11" s="1532"/>
      <c r="T11" s="1532"/>
      <c r="U11" s="1532"/>
      <c r="V11" s="1532"/>
      <c r="W11" s="1532"/>
      <c r="X11" s="1533"/>
      <c r="Y11" s="589"/>
      <c r="Z11" s="51"/>
      <c r="AA11" s="588" t="str">
        <f>IF(AND(I9="はい",B11=""),"×","○")</f>
        <v>○</v>
      </c>
      <c r="AC11" s="74"/>
    </row>
    <row r="12" spans="1:29">
      <c r="A12" s="1334"/>
      <c r="B12" s="1534"/>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6"/>
      <c r="Y12" s="589"/>
      <c r="Z12" s="51"/>
      <c r="AA12" s="51"/>
      <c r="AC12" s="74"/>
    </row>
    <row r="13" spans="1:29">
      <c r="A13" s="1334"/>
      <c r="B13" s="1534"/>
      <c r="C13" s="1535"/>
      <c r="D13" s="1535"/>
      <c r="E13" s="1535"/>
      <c r="F13" s="1535"/>
      <c r="G13" s="1535"/>
      <c r="H13" s="1535"/>
      <c r="I13" s="1535"/>
      <c r="J13" s="1535"/>
      <c r="K13" s="1535"/>
      <c r="L13" s="1535"/>
      <c r="M13" s="1535"/>
      <c r="N13" s="1535"/>
      <c r="O13" s="1535"/>
      <c r="P13" s="1535"/>
      <c r="Q13" s="1535"/>
      <c r="R13" s="1535"/>
      <c r="S13" s="1535"/>
      <c r="T13" s="1535"/>
      <c r="U13" s="1535"/>
      <c r="V13" s="1535"/>
      <c r="W13" s="1535"/>
      <c r="X13" s="1536"/>
      <c r="Y13" s="589"/>
      <c r="Z13" s="51"/>
      <c r="AA13" s="51"/>
      <c r="AC13" s="74"/>
    </row>
    <row r="14" spans="1:29">
      <c r="A14" s="1334"/>
      <c r="B14" s="1534"/>
      <c r="C14" s="1535"/>
      <c r="D14" s="1535"/>
      <c r="E14" s="1535"/>
      <c r="F14" s="1535"/>
      <c r="G14" s="1535"/>
      <c r="H14" s="1535"/>
      <c r="I14" s="1535"/>
      <c r="J14" s="1535"/>
      <c r="K14" s="1535"/>
      <c r="L14" s="1535"/>
      <c r="M14" s="1535"/>
      <c r="N14" s="1535"/>
      <c r="O14" s="1535"/>
      <c r="P14" s="1535"/>
      <c r="Q14" s="1535"/>
      <c r="R14" s="1535"/>
      <c r="S14" s="1535"/>
      <c r="T14" s="1535"/>
      <c r="U14" s="1535"/>
      <c r="V14" s="1535"/>
      <c r="W14" s="1535"/>
      <c r="X14" s="1536"/>
      <c r="Y14" s="589"/>
      <c r="Z14" s="51"/>
      <c r="AA14" s="51"/>
      <c r="AC14" s="74"/>
    </row>
    <row r="15" spans="1:29">
      <c r="A15" s="1335"/>
      <c r="B15" s="1537"/>
      <c r="C15" s="1538"/>
      <c r="D15" s="1538"/>
      <c r="E15" s="1538"/>
      <c r="F15" s="1538"/>
      <c r="G15" s="1538"/>
      <c r="H15" s="1538"/>
      <c r="I15" s="1538"/>
      <c r="J15" s="1538"/>
      <c r="K15" s="1538"/>
      <c r="L15" s="1538"/>
      <c r="M15" s="1538"/>
      <c r="N15" s="1538"/>
      <c r="O15" s="1538"/>
      <c r="P15" s="1538"/>
      <c r="Q15" s="1538"/>
      <c r="R15" s="1538"/>
      <c r="S15" s="1538"/>
      <c r="T15" s="1538"/>
      <c r="U15" s="1538"/>
      <c r="V15" s="1538"/>
      <c r="W15" s="1538"/>
      <c r="X15" s="1539"/>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13" zoomScaleNormal="100" zoomScaleSheetLayoutView="100" workbookViewId="0">
      <selection activeCell="B20" sqref="B20:Y20"/>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0" t="s">
        <v>908</v>
      </c>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1270"/>
      <c r="Z1" s="573"/>
      <c r="AA1" s="573"/>
      <c r="AB1" s="83"/>
      <c r="AC1" s="574"/>
    </row>
    <row r="2" spans="1:29" ht="24.95" customHeight="1" thickTop="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388" t="str">
        <f>IF(COUNTIF(AA6:AA28,"×")&gt;=1,"未入力あり","入力済")</f>
        <v>入力済</v>
      </c>
      <c r="Z2" s="1278"/>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8"/>
      <c r="AA3" s="452"/>
    </row>
    <row r="4" spans="1:29" ht="20.25" customHeight="1">
      <c r="A4" s="437"/>
      <c r="B4" s="437"/>
      <c r="C4" s="437"/>
      <c r="D4" s="437"/>
      <c r="E4" s="437"/>
      <c r="F4" s="391" t="s">
        <v>725</v>
      </c>
      <c r="G4" s="1481" t="str">
        <f>表紙!E2</f>
        <v>医療法人徳洲会　松原徳洲会病院</v>
      </c>
      <c r="H4" s="1482"/>
      <c r="I4" s="1482"/>
      <c r="J4" s="1482"/>
      <c r="K4" s="1482"/>
      <c r="L4" s="1482"/>
      <c r="M4" s="1482"/>
      <c r="N4" s="1482"/>
      <c r="O4" s="1482"/>
      <c r="P4" s="1482"/>
      <c r="Q4" s="1482"/>
      <c r="R4" s="1482"/>
      <c r="S4" s="1482"/>
      <c r="T4" s="1482"/>
      <c r="U4" s="1482"/>
      <c r="V4" s="1482"/>
      <c r="W4" s="1482"/>
      <c r="X4" s="1482"/>
      <c r="Y4" s="1483"/>
      <c r="Z4" s="1278"/>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8"/>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2">
        <v>1</v>
      </c>
      <c r="B7" s="576" t="s">
        <v>909</v>
      </c>
      <c r="C7" s="577"/>
      <c r="D7" s="577"/>
      <c r="E7" s="577"/>
      <c r="F7" s="578"/>
      <c r="G7" s="578"/>
      <c r="H7" s="578"/>
      <c r="I7" s="577"/>
      <c r="J7" s="577"/>
      <c r="K7" s="577"/>
      <c r="L7" s="577"/>
      <c r="M7" s="577"/>
      <c r="N7" s="577"/>
      <c r="O7" s="577"/>
      <c r="P7" s="592"/>
      <c r="Q7" s="1523" t="s">
        <v>1777</v>
      </c>
      <c r="R7" s="1524"/>
      <c r="S7" s="1524"/>
      <c r="T7" s="1524"/>
      <c r="U7" s="1525"/>
      <c r="V7" s="511" t="s">
        <v>910</v>
      </c>
      <c r="W7" s="511"/>
      <c r="X7" s="511"/>
      <c r="Y7" s="512"/>
      <c r="Z7" s="593"/>
      <c r="AA7" s="8" t="str">
        <f>IF(Q7="","×","○")</f>
        <v>○</v>
      </c>
      <c r="AC7" s="74"/>
    </row>
    <row r="8" spans="1:29" ht="18" customHeight="1">
      <c r="A8" s="1312"/>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2"/>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2"/>
      <c r="B10" s="1546" t="s">
        <v>1838</v>
      </c>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8"/>
      <c r="Z10" s="405"/>
      <c r="AA10" s="547" t="str">
        <f>IF(AND(Q7="はい",B10=""),"×","○")</f>
        <v>○</v>
      </c>
      <c r="AC10" s="74"/>
    </row>
    <row r="11" spans="1:29" ht="18" customHeight="1" thickBot="1">
      <c r="A11" s="1312"/>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3"/>
      <c r="B12" s="1546" t="s">
        <v>1839</v>
      </c>
      <c r="C12" s="1547"/>
      <c r="D12" s="1547"/>
      <c r="E12" s="1547"/>
      <c r="F12" s="1547"/>
      <c r="G12" s="1547"/>
      <c r="H12" s="1547"/>
      <c r="I12" s="1547"/>
      <c r="J12" s="1547"/>
      <c r="K12" s="1547"/>
      <c r="L12" s="1547"/>
      <c r="M12" s="1547"/>
      <c r="N12" s="1547"/>
      <c r="O12" s="1547"/>
      <c r="P12" s="1547"/>
      <c r="Q12" s="1547"/>
      <c r="R12" s="1547"/>
      <c r="S12" s="1547"/>
      <c r="T12" s="1547"/>
      <c r="U12" s="1547"/>
      <c r="V12" s="1547"/>
      <c r="W12" s="1547"/>
      <c r="X12" s="1547"/>
      <c r="Y12" s="1548"/>
      <c r="Z12" s="405"/>
      <c r="AA12" s="547" t="str">
        <f>IF(AND(Q7="いいえ",B12=""),"×","○")</f>
        <v>○</v>
      </c>
      <c r="AC12" s="74"/>
    </row>
    <row r="13" spans="1:29" ht="18" customHeight="1" thickBot="1">
      <c r="A13" s="1544">
        <v>2</v>
      </c>
      <c r="B13" s="599" t="s">
        <v>915</v>
      </c>
      <c r="C13" s="600"/>
      <c r="D13" s="600"/>
      <c r="E13" s="600"/>
      <c r="F13" s="487"/>
      <c r="G13" s="487"/>
      <c r="H13" s="487"/>
      <c r="I13" s="600"/>
      <c r="J13" s="600"/>
      <c r="K13" s="600"/>
      <c r="L13" s="600"/>
      <c r="M13" s="600"/>
      <c r="N13" s="600"/>
      <c r="O13" s="600"/>
      <c r="P13" s="600"/>
      <c r="Q13" s="1523" t="s">
        <v>1776</v>
      </c>
      <c r="R13" s="1524"/>
      <c r="S13" s="1524"/>
      <c r="T13" s="1524"/>
      <c r="U13" s="1525"/>
      <c r="V13" s="387" t="s">
        <v>910</v>
      </c>
      <c r="W13" s="387"/>
      <c r="X13" s="387"/>
      <c r="Y13" s="513"/>
      <c r="Z13" s="593"/>
      <c r="AA13" s="8" t="str">
        <f>IF(Q13="","×","○")</f>
        <v>○</v>
      </c>
      <c r="AC13" s="74"/>
    </row>
    <row r="14" spans="1:29" ht="18" customHeight="1" thickBot="1">
      <c r="A14" s="1544"/>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5"/>
      <c r="B15" s="1546"/>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7"/>
      <c r="Y15" s="1548"/>
      <c r="Z15" s="405"/>
      <c r="AA15" s="547" t="str">
        <f>IF(AND(Q13="はい",B15=""),"×","○")</f>
        <v>○</v>
      </c>
      <c r="AC15" s="74"/>
    </row>
    <row r="16" spans="1:29" ht="18" customHeight="1" thickBot="1">
      <c r="A16" s="1544">
        <v>3</v>
      </c>
      <c r="B16" s="599" t="s">
        <v>917</v>
      </c>
      <c r="C16" s="600"/>
      <c r="D16" s="600"/>
      <c r="E16" s="600"/>
      <c r="F16" s="487"/>
      <c r="G16" s="487"/>
      <c r="H16" s="487"/>
      <c r="I16" s="600"/>
      <c r="J16" s="600"/>
      <c r="K16" s="600"/>
      <c r="L16" s="600"/>
      <c r="M16" s="600"/>
      <c r="N16" s="600"/>
      <c r="O16" s="600"/>
      <c r="P16" s="600"/>
      <c r="Q16" s="1523" t="s">
        <v>1777</v>
      </c>
      <c r="R16" s="1524"/>
      <c r="S16" s="1524"/>
      <c r="T16" s="1524"/>
      <c r="U16" s="1525"/>
      <c r="V16" s="1550" t="s">
        <v>910</v>
      </c>
      <c r="W16" s="1550"/>
      <c r="X16" s="1550"/>
      <c r="Y16" s="1551"/>
      <c r="Z16" s="593"/>
      <c r="AA16" s="8" t="str">
        <f>IF(Q16="","×","○")</f>
        <v>○</v>
      </c>
      <c r="AC16" s="74"/>
    </row>
    <row r="17" spans="1:29" ht="18" customHeight="1" thickBot="1">
      <c r="A17" s="1544"/>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5"/>
      <c r="B18" s="1549" t="s">
        <v>1840</v>
      </c>
      <c r="C18" s="1547"/>
      <c r="D18" s="1547"/>
      <c r="E18" s="1547"/>
      <c r="F18" s="1547"/>
      <c r="G18" s="1547"/>
      <c r="H18" s="1547"/>
      <c r="I18" s="1547"/>
      <c r="J18" s="1547"/>
      <c r="K18" s="1547"/>
      <c r="L18" s="1547"/>
      <c r="M18" s="1547"/>
      <c r="N18" s="1547"/>
      <c r="O18" s="1547"/>
      <c r="P18" s="1547"/>
      <c r="Q18" s="1547"/>
      <c r="R18" s="1547"/>
      <c r="S18" s="1547"/>
      <c r="T18" s="1547"/>
      <c r="U18" s="1547"/>
      <c r="V18" s="1547"/>
      <c r="W18" s="1547"/>
      <c r="X18" s="1547"/>
      <c r="Y18" s="1548"/>
      <c r="Z18" s="405"/>
      <c r="AA18" s="547" t="str">
        <f>IF(AND(Q16="はい",B18=""),"×","○")</f>
        <v>○</v>
      </c>
      <c r="AC18" s="74"/>
    </row>
    <row r="19" spans="1:29" ht="18" customHeight="1" thickBot="1">
      <c r="A19" s="1542">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3"/>
      <c r="B20" s="1549" t="s">
        <v>1845</v>
      </c>
      <c r="C20" s="1547"/>
      <c r="D20" s="1547"/>
      <c r="E20" s="1547"/>
      <c r="F20" s="1547"/>
      <c r="G20" s="1547"/>
      <c r="H20" s="1547"/>
      <c r="I20" s="1547"/>
      <c r="J20" s="1547"/>
      <c r="K20" s="1547"/>
      <c r="L20" s="1547"/>
      <c r="M20" s="1547"/>
      <c r="N20" s="1547"/>
      <c r="O20" s="1547"/>
      <c r="P20" s="1547"/>
      <c r="Q20" s="1547"/>
      <c r="R20" s="1547"/>
      <c r="S20" s="1547"/>
      <c r="T20" s="1547"/>
      <c r="U20" s="1547"/>
      <c r="V20" s="1547"/>
      <c r="W20" s="1547"/>
      <c r="X20" s="1547"/>
      <c r="Y20" s="1548"/>
      <c r="Z20" s="405"/>
      <c r="AC20" s="74"/>
    </row>
    <row r="21" spans="1:29" ht="18" customHeight="1" thickBot="1">
      <c r="A21" s="1542">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3"/>
      <c r="B22" s="1552" t="s">
        <v>1844</v>
      </c>
      <c r="C22" s="1553"/>
      <c r="D22" s="1553"/>
      <c r="E22" s="1553"/>
      <c r="F22" s="1553"/>
      <c r="G22" s="1553"/>
      <c r="H22" s="1553"/>
      <c r="I22" s="1553"/>
      <c r="J22" s="1553"/>
      <c r="K22" s="1553"/>
      <c r="L22" s="1553"/>
      <c r="M22" s="1553"/>
      <c r="N22" s="1553"/>
      <c r="O22" s="1553"/>
      <c r="P22" s="1553"/>
      <c r="Q22" s="1553"/>
      <c r="R22" s="1553"/>
      <c r="S22" s="1553"/>
      <c r="T22" s="1553"/>
      <c r="U22" s="1553"/>
      <c r="V22" s="1553"/>
      <c r="W22" s="1553"/>
      <c r="X22" s="1553"/>
      <c r="Y22" s="1554"/>
      <c r="Z22" s="405"/>
      <c r="AC22" s="74"/>
    </row>
    <row r="23" spans="1:29" ht="18" customHeight="1" thickBot="1">
      <c r="A23" s="1542">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3"/>
      <c r="B24" s="1552" t="s">
        <v>1843</v>
      </c>
      <c r="C24" s="1553"/>
      <c r="D24" s="1553"/>
      <c r="E24" s="1553"/>
      <c r="F24" s="1553"/>
      <c r="G24" s="1553"/>
      <c r="H24" s="1553"/>
      <c r="I24" s="1553"/>
      <c r="J24" s="1553"/>
      <c r="K24" s="1553"/>
      <c r="L24" s="1553"/>
      <c r="M24" s="1553"/>
      <c r="N24" s="1553"/>
      <c r="O24" s="1553"/>
      <c r="P24" s="1553"/>
      <c r="Q24" s="1553"/>
      <c r="R24" s="1553"/>
      <c r="S24" s="1553"/>
      <c r="T24" s="1553"/>
      <c r="U24" s="1553"/>
      <c r="V24" s="1553"/>
      <c r="W24" s="1553"/>
      <c r="X24" s="1553"/>
      <c r="Y24" s="1554"/>
      <c r="Z24" s="405"/>
      <c r="AC24" s="74"/>
    </row>
    <row r="25" spans="1:29" ht="18" customHeight="1" thickBot="1">
      <c r="A25" s="1542">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3"/>
      <c r="B26" s="1549" t="s">
        <v>1842</v>
      </c>
      <c r="C26" s="1547"/>
      <c r="D26" s="1547"/>
      <c r="E26" s="1547"/>
      <c r="F26" s="1547"/>
      <c r="G26" s="1547"/>
      <c r="H26" s="1547"/>
      <c r="I26" s="1547"/>
      <c r="J26" s="1547"/>
      <c r="K26" s="1547"/>
      <c r="L26" s="1547"/>
      <c r="M26" s="1547"/>
      <c r="N26" s="1547"/>
      <c r="O26" s="1547"/>
      <c r="P26" s="1547"/>
      <c r="Q26" s="1547"/>
      <c r="R26" s="1547"/>
      <c r="S26" s="1547"/>
      <c r="T26" s="1547"/>
      <c r="U26" s="1547"/>
      <c r="V26" s="1547"/>
      <c r="W26" s="1547"/>
      <c r="X26" s="1547"/>
      <c r="Y26" s="1548"/>
      <c r="Z26" s="405"/>
      <c r="AC26" s="74"/>
    </row>
    <row r="27" spans="1:29" ht="18" customHeight="1" thickBot="1">
      <c r="A27" s="1544">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5"/>
      <c r="B28" s="1549" t="s">
        <v>1841</v>
      </c>
      <c r="C28" s="1547"/>
      <c r="D28" s="1547"/>
      <c r="E28" s="1547"/>
      <c r="F28" s="1547"/>
      <c r="G28" s="1547"/>
      <c r="H28" s="1547"/>
      <c r="I28" s="1547"/>
      <c r="J28" s="1547"/>
      <c r="K28" s="1547"/>
      <c r="L28" s="1547"/>
      <c r="M28" s="1547"/>
      <c r="N28" s="1547"/>
      <c r="O28" s="1547"/>
      <c r="P28" s="1547"/>
      <c r="Q28" s="1547"/>
      <c r="R28" s="1547"/>
      <c r="S28" s="1547"/>
      <c r="T28" s="1547"/>
      <c r="U28" s="1547"/>
      <c r="V28" s="1547"/>
      <c r="W28" s="1547"/>
      <c r="X28" s="1547"/>
      <c r="Y28" s="1548"/>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19" sqref="C19"/>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6" t="s">
        <v>923</v>
      </c>
      <c r="B1" s="1556"/>
      <c r="C1" s="1556"/>
      <c r="D1" s="1556"/>
      <c r="E1" s="1556"/>
      <c r="F1" s="1556"/>
      <c r="G1" s="1556"/>
      <c r="H1" s="610"/>
      <c r="I1" s="610"/>
      <c r="K1" s="83"/>
      <c r="L1" s="612"/>
    </row>
    <row r="2" spans="1:14" s="611" customFormat="1" ht="24.95" customHeight="1" thickTop="1" thickBot="1">
      <c r="A2" s="1272" t="s">
        <v>877</v>
      </c>
      <c r="B2" s="1272"/>
      <c r="C2" s="1272"/>
      <c r="D2" s="1272"/>
      <c r="E2" s="1272"/>
      <c r="F2" s="1292"/>
      <c r="G2" s="388" t="str">
        <f>IF(COUNTIF(I8:J36,"×")&gt;=1,"未入力あり","入力済")</f>
        <v>入力済</v>
      </c>
      <c r="H2" s="613"/>
      <c r="I2" s="614"/>
      <c r="J2" s="1555"/>
      <c r="K2" s="83"/>
      <c r="L2" s="612"/>
    </row>
    <row r="3" spans="1:14" s="611" customFormat="1" ht="5.0999999999999996" customHeight="1" thickTop="1">
      <c r="A3" s="615"/>
      <c r="B3" s="615"/>
      <c r="C3" s="615"/>
      <c r="D3" s="615"/>
      <c r="E3" s="615"/>
      <c r="F3" s="615"/>
      <c r="G3" s="616"/>
      <c r="H3" s="616"/>
      <c r="I3" s="616"/>
      <c r="J3" s="1555"/>
      <c r="K3" s="51"/>
      <c r="L3" s="612"/>
    </row>
    <row r="4" spans="1:14" s="611" customFormat="1" ht="20.25" customHeight="1">
      <c r="A4" s="615"/>
      <c r="B4" s="615"/>
      <c r="C4" s="615"/>
      <c r="D4" s="617" t="s">
        <v>924</v>
      </c>
      <c r="E4" s="1559" t="str">
        <f>表紙!E2</f>
        <v>医療法人徳洲会　松原徳洲会病院</v>
      </c>
      <c r="F4" s="1560"/>
      <c r="G4" s="1561"/>
      <c r="H4" s="618"/>
      <c r="I4" s="618"/>
      <c r="J4" s="1555"/>
      <c r="K4" s="83"/>
      <c r="L4" s="612"/>
    </row>
    <row r="5" spans="1:14" s="611" customFormat="1" ht="20.25" customHeight="1">
      <c r="A5" s="615"/>
      <c r="B5" s="615"/>
      <c r="C5" s="615"/>
      <c r="D5" s="1563" t="s">
        <v>1687</v>
      </c>
      <c r="E5" s="1563"/>
      <c r="F5" s="1563"/>
      <c r="J5" s="619"/>
      <c r="K5" s="83"/>
      <c r="L5" s="612"/>
    </row>
    <row r="6" spans="1:14" s="611" customFormat="1" ht="22.5" customHeight="1">
      <c r="A6" s="1557"/>
      <c r="B6" s="1557"/>
      <c r="C6" s="1557"/>
      <c r="D6" s="1557"/>
      <c r="E6" s="1557"/>
      <c r="F6" s="1557"/>
      <c r="G6" s="1557"/>
      <c r="H6" s="620"/>
      <c r="I6" s="620"/>
      <c r="J6" s="621"/>
      <c r="K6" s="622"/>
      <c r="L6" s="623" t="s">
        <v>204</v>
      </c>
    </row>
    <row r="7" spans="1:14" s="611" customFormat="1" ht="69.95" customHeight="1" thickBot="1">
      <c r="A7" s="1562" t="s">
        <v>925</v>
      </c>
      <c r="B7" s="1562"/>
      <c r="C7" s="1562"/>
      <c r="D7" s="1562"/>
      <c r="E7" s="1562"/>
      <c r="F7" s="1562"/>
      <c r="G7" s="1562"/>
      <c r="H7" s="620"/>
      <c r="I7" s="620"/>
      <c r="J7" s="621"/>
      <c r="K7" s="622"/>
      <c r="L7" s="131"/>
    </row>
    <row r="8" spans="1:14" s="611" customFormat="1" ht="20.100000000000001" customHeight="1" thickBot="1">
      <c r="A8" s="1" t="s">
        <v>926</v>
      </c>
      <c r="C8" s="288">
        <v>297</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270</v>
      </c>
      <c r="D11" s="627"/>
      <c r="E11" s="627"/>
      <c r="F11" s="627"/>
      <c r="I11" s="611" t="str">
        <f>IF(C11="","×","○")</f>
        <v>○</v>
      </c>
      <c r="L11" s="131"/>
      <c r="M11" s="631">
        <v>0</v>
      </c>
      <c r="N11" s="632">
        <v>10000</v>
      </c>
    </row>
    <row r="12" spans="1:14" s="611" customFormat="1" ht="20.25" customHeight="1" thickBot="1">
      <c r="A12" s="628">
        <v>2</v>
      </c>
      <c r="B12" s="629" t="s">
        <v>931</v>
      </c>
      <c r="C12" s="288">
        <v>12</v>
      </c>
      <c r="D12" s="627"/>
      <c r="E12" s="627"/>
      <c r="F12" s="627"/>
      <c r="I12" s="611" t="str">
        <f>IF(C12="","×","○")</f>
        <v>○</v>
      </c>
      <c r="K12" s="633"/>
      <c r="L12" s="131"/>
      <c r="M12" s="625">
        <v>0</v>
      </c>
      <c r="N12" s="634">
        <v>2000</v>
      </c>
    </row>
    <row r="13" spans="1:14" s="611" customFormat="1" ht="20.25" customHeight="1" thickBot="1">
      <c r="A13" s="628">
        <v>3</v>
      </c>
      <c r="B13" s="629" t="s">
        <v>932</v>
      </c>
      <c r="C13" s="288">
        <v>15</v>
      </c>
      <c r="D13" s="627"/>
      <c r="E13" s="627"/>
      <c r="F13" s="627"/>
      <c r="I13" s="611" t="str">
        <f>IF(C13="","×","○")</f>
        <v>○</v>
      </c>
      <c r="J13" s="635"/>
      <c r="K13" s="636"/>
      <c r="L13" s="131"/>
      <c r="M13" s="625">
        <v>0</v>
      </c>
      <c r="N13" s="634">
        <v>1500</v>
      </c>
    </row>
    <row r="14" spans="1:14" s="611" customFormat="1" ht="20.25" customHeight="1">
      <c r="A14" s="637"/>
      <c r="B14" s="638" t="s">
        <v>933</v>
      </c>
      <c r="C14" s="639">
        <f>SUM(C11:C13)</f>
        <v>297</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58" t="s">
        <v>934</v>
      </c>
      <c r="B16" s="1558"/>
      <c r="C16" s="1558"/>
      <c r="D16" s="1558"/>
      <c r="E16" s="1558"/>
      <c r="F16" s="1558"/>
      <c r="G16" s="1558"/>
      <c r="H16" s="824"/>
      <c r="I16" s="640"/>
      <c r="J16" s="635"/>
      <c r="K16" s="636"/>
      <c r="L16" s="132"/>
    </row>
    <row r="17" spans="1:14">
      <c r="J17" s="635" t="s">
        <v>935</v>
      </c>
      <c r="K17" s="636"/>
      <c r="L17" s="132"/>
    </row>
    <row r="18" spans="1:14" s="611" customFormat="1" ht="20.25" customHeight="1" thickBot="1">
      <c r="A18" s="641"/>
      <c r="B18" s="642" t="s">
        <v>936</v>
      </c>
      <c r="C18" s="643" t="s">
        <v>937</v>
      </c>
      <c r="D18" s="1568" t="s">
        <v>936</v>
      </c>
      <c r="E18" s="1569"/>
      <c r="F18" s="643" t="s">
        <v>937</v>
      </c>
      <c r="J18" s="635"/>
      <c r="K18" s="636"/>
      <c r="L18" s="132"/>
    </row>
    <row r="19" spans="1:14" s="611" customFormat="1" ht="21" customHeight="1" thickBot="1">
      <c r="A19" s="644"/>
      <c r="B19" s="645" t="s">
        <v>938</v>
      </c>
      <c r="C19" s="288">
        <v>42</v>
      </c>
      <c r="D19" s="645" t="s">
        <v>939</v>
      </c>
      <c r="E19" s="645"/>
      <c r="F19" s="288">
        <v>65</v>
      </c>
      <c r="I19" s="611" t="str">
        <f t="shared" ref="I19:I25" si="0">IF(C19="","×","○")</f>
        <v>○</v>
      </c>
      <c r="J19" s="611" t="str">
        <f>IF(F19="","×","○")</f>
        <v>○</v>
      </c>
      <c r="K19" s="636"/>
      <c r="L19" s="132"/>
      <c r="M19" s="625">
        <v>0</v>
      </c>
      <c r="N19" s="634">
        <v>3000</v>
      </c>
    </row>
    <row r="20" spans="1:14" s="611" customFormat="1" ht="20.25" customHeight="1" thickBot="1">
      <c r="A20" s="644"/>
      <c r="B20" s="645" t="s">
        <v>940</v>
      </c>
      <c r="C20" s="288">
        <v>4</v>
      </c>
      <c r="D20" s="645" t="s">
        <v>941</v>
      </c>
      <c r="E20" s="645"/>
      <c r="F20" s="288">
        <v>208</v>
      </c>
      <c r="I20" s="611" t="str">
        <f t="shared" si="0"/>
        <v>○</v>
      </c>
      <c r="J20" s="611" t="str">
        <f t="shared" ref="J20:J33" si="1">IF(F20="","×","○")</f>
        <v>○</v>
      </c>
      <c r="K20" s="636"/>
      <c r="L20" s="132"/>
      <c r="M20" s="625">
        <v>0</v>
      </c>
      <c r="N20" s="634">
        <v>3000</v>
      </c>
    </row>
    <row r="21" spans="1:14" s="611" customFormat="1" ht="20.25" customHeight="1" thickBot="1">
      <c r="A21" s="644"/>
      <c r="B21" s="645" t="s">
        <v>942</v>
      </c>
      <c r="C21" s="288">
        <v>18</v>
      </c>
      <c r="D21" s="1566" t="s">
        <v>943</v>
      </c>
      <c r="E21" s="1567"/>
      <c r="F21" s="288">
        <v>1</v>
      </c>
      <c r="I21" s="611" t="str">
        <f t="shared" si="0"/>
        <v>○</v>
      </c>
      <c r="J21" s="611" t="str">
        <f t="shared" si="1"/>
        <v>○</v>
      </c>
      <c r="K21" s="636"/>
      <c r="L21" s="132"/>
      <c r="M21" s="625">
        <v>0</v>
      </c>
      <c r="N21" s="634">
        <v>3000</v>
      </c>
    </row>
    <row r="22" spans="1:14" s="611" customFormat="1" ht="20.25" customHeight="1" thickBot="1">
      <c r="A22" s="644"/>
      <c r="B22" s="1099" t="s">
        <v>1601</v>
      </c>
      <c r="C22" s="288">
        <v>0</v>
      </c>
      <c r="D22" s="1566" t="s">
        <v>944</v>
      </c>
      <c r="E22" s="1567"/>
      <c r="F22" s="288">
        <v>0</v>
      </c>
      <c r="I22" s="611" t="str">
        <f t="shared" si="0"/>
        <v>○</v>
      </c>
      <c r="J22" s="611" t="str">
        <f t="shared" si="1"/>
        <v>○</v>
      </c>
      <c r="K22" s="636"/>
      <c r="L22" s="132"/>
      <c r="M22" s="625">
        <v>0</v>
      </c>
      <c r="N22" s="634">
        <v>3000</v>
      </c>
    </row>
    <row r="23" spans="1:14" s="611" customFormat="1" ht="20.25" customHeight="1" thickBot="1">
      <c r="A23" s="644"/>
      <c r="B23" s="646" t="s">
        <v>945</v>
      </c>
      <c r="C23" s="288">
        <v>5</v>
      </c>
      <c r="D23" s="647" t="s">
        <v>946</v>
      </c>
      <c r="E23" s="648"/>
      <c r="F23" s="288">
        <v>15</v>
      </c>
      <c r="I23" s="611" t="str">
        <f t="shared" si="0"/>
        <v>○</v>
      </c>
      <c r="J23" s="611" t="str">
        <f t="shared" si="1"/>
        <v>○</v>
      </c>
      <c r="K23" s="636"/>
      <c r="L23" s="133"/>
      <c r="M23" s="625">
        <v>0</v>
      </c>
      <c r="N23" s="634">
        <v>3000</v>
      </c>
    </row>
    <row r="24" spans="1:14" s="611" customFormat="1" ht="20.25" customHeight="1" thickBot="1">
      <c r="A24" s="644"/>
      <c r="B24" s="646" t="s">
        <v>947</v>
      </c>
      <c r="C24" s="288">
        <v>13</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0</v>
      </c>
      <c r="I25" s="611" t="str">
        <f t="shared" si="0"/>
        <v>○</v>
      </c>
      <c r="J25" s="611" t="str">
        <f t="shared" si="1"/>
        <v>○</v>
      </c>
      <c r="K25" s="636"/>
      <c r="L25" s="132"/>
      <c r="M25" s="625">
        <v>0</v>
      </c>
      <c r="N25" s="634">
        <v>3000</v>
      </c>
    </row>
    <row r="26" spans="1:14" s="611" customFormat="1" ht="24" customHeight="1" thickBot="1">
      <c r="A26" s="644"/>
      <c r="B26" s="645" t="s">
        <v>951</v>
      </c>
      <c r="C26" s="288">
        <v>6</v>
      </c>
      <c r="D26" s="647" t="s">
        <v>952</v>
      </c>
      <c r="E26" s="645"/>
      <c r="F26" s="288">
        <v>21</v>
      </c>
      <c r="I26" s="611" t="str">
        <f t="shared" ref="I26:I36" si="2">IF(C26="","×","○")</f>
        <v>○</v>
      </c>
      <c r="J26" s="611" t="str">
        <f t="shared" si="1"/>
        <v>○</v>
      </c>
      <c r="K26" s="636"/>
      <c r="L26" s="132"/>
      <c r="M26" s="625">
        <v>0</v>
      </c>
      <c r="N26" s="634">
        <v>3000</v>
      </c>
    </row>
    <row r="27" spans="1:14" s="611" customFormat="1" ht="24" customHeight="1" thickBot="1">
      <c r="A27" s="644"/>
      <c r="B27" s="645" t="s">
        <v>953</v>
      </c>
      <c r="C27" s="288">
        <v>1</v>
      </c>
      <c r="D27" s="647" t="s">
        <v>954</v>
      </c>
      <c r="E27" s="645"/>
      <c r="F27" s="288">
        <v>4</v>
      </c>
      <c r="I27" s="611" t="str">
        <f t="shared" si="2"/>
        <v>○</v>
      </c>
      <c r="J27" s="611" t="str">
        <f t="shared" si="1"/>
        <v>○</v>
      </c>
      <c r="K27" s="636"/>
      <c r="L27" s="132"/>
      <c r="M27" s="625">
        <v>0</v>
      </c>
      <c r="N27" s="634">
        <v>3000</v>
      </c>
    </row>
    <row r="28" spans="1:14" s="611" customFormat="1" ht="24" customHeight="1" thickBot="1">
      <c r="A28" s="644"/>
      <c r="B28" s="645" t="s">
        <v>955</v>
      </c>
      <c r="C28" s="288">
        <v>1</v>
      </c>
      <c r="D28" s="647" t="s">
        <v>956</v>
      </c>
      <c r="E28" s="645"/>
      <c r="F28" s="288">
        <v>6</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4</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33</v>
      </c>
      <c r="D31" s="647" t="s">
        <v>962</v>
      </c>
      <c r="E31" s="645"/>
      <c r="F31" s="288">
        <v>1</v>
      </c>
      <c r="I31" s="611" t="str">
        <f t="shared" si="2"/>
        <v>○</v>
      </c>
      <c r="J31" s="611" t="str">
        <f t="shared" si="1"/>
        <v>○</v>
      </c>
      <c r="K31" s="636"/>
      <c r="L31" s="132"/>
      <c r="M31" s="625">
        <v>0</v>
      </c>
      <c r="N31" s="634">
        <v>3000</v>
      </c>
    </row>
    <row r="32" spans="1:14" s="611" customFormat="1" ht="24" customHeight="1" thickBot="1">
      <c r="A32" s="644"/>
      <c r="B32" s="645" t="s">
        <v>963</v>
      </c>
      <c r="C32" s="288">
        <v>39</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52</v>
      </c>
      <c r="D33" s="647" t="s">
        <v>966</v>
      </c>
      <c r="E33" s="645"/>
      <c r="F33" s="288">
        <v>9</v>
      </c>
      <c r="I33" s="611" t="str">
        <f t="shared" si="2"/>
        <v>○</v>
      </c>
      <c r="J33" s="611" t="str">
        <f t="shared" si="1"/>
        <v>○</v>
      </c>
      <c r="K33" s="633"/>
      <c r="L33" s="132"/>
      <c r="M33" s="625">
        <v>0</v>
      </c>
      <c r="N33" s="634">
        <v>3000</v>
      </c>
    </row>
    <row r="34" spans="1:14" s="611" customFormat="1" ht="24" customHeight="1" thickBot="1">
      <c r="A34" s="644"/>
      <c r="B34" s="645" t="s">
        <v>967</v>
      </c>
      <c r="C34" s="288">
        <v>0</v>
      </c>
      <c r="D34" s="1564" t="s">
        <v>1846</v>
      </c>
      <c r="E34" s="1565"/>
      <c r="F34" s="288">
        <v>4</v>
      </c>
      <c r="I34" s="611" t="str">
        <f t="shared" si="2"/>
        <v>○</v>
      </c>
      <c r="K34" s="633"/>
      <c r="L34" s="132"/>
      <c r="M34" s="625">
        <v>0</v>
      </c>
      <c r="N34" s="634">
        <v>3000</v>
      </c>
    </row>
    <row r="35" spans="1:14" s="611" customFormat="1" ht="24" customHeight="1" thickBot="1">
      <c r="A35" s="644"/>
      <c r="B35" s="645" t="s">
        <v>968</v>
      </c>
      <c r="C35" s="288">
        <v>46</v>
      </c>
      <c r="D35" s="1564" t="s">
        <v>1847</v>
      </c>
      <c r="E35" s="1565"/>
      <c r="F35" s="288">
        <v>2</v>
      </c>
      <c r="I35" s="611" t="str">
        <f t="shared" si="2"/>
        <v>○</v>
      </c>
      <c r="K35" s="633"/>
      <c r="L35" s="132"/>
      <c r="M35" s="625">
        <v>0</v>
      </c>
      <c r="N35" s="634">
        <v>3000</v>
      </c>
    </row>
    <row r="36" spans="1:14" s="627" customFormat="1" ht="24" customHeight="1" thickBot="1">
      <c r="A36" s="644"/>
      <c r="B36" s="645" t="s">
        <v>969</v>
      </c>
      <c r="C36" s="288">
        <v>95</v>
      </c>
      <c r="D36" s="1564" t="s">
        <v>1848</v>
      </c>
      <c r="E36" s="1565"/>
      <c r="F36" s="288">
        <v>3</v>
      </c>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4" t="s">
        <v>996</v>
      </c>
      <c r="B1" s="1574"/>
      <c r="C1" s="1574"/>
      <c r="D1" s="1574"/>
      <c r="E1" s="1574"/>
      <c r="F1" s="1574"/>
      <c r="G1" s="1574"/>
      <c r="H1" s="1574"/>
      <c r="I1" s="1574"/>
      <c r="J1" s="1574"/>
      <c r="K1" s="1574"/>
      <c r="L1" s="1574"/>
      <c r="M1" s="1574"/>
      <c r="N1" s="1574"/>
      <c r="O1" s="1574"/>
      <c r="P1" s="1574"/>
      <c r="Q1" s="1574"/>
      <c r="R1" s="1574"/>
      <c r="S1" s="1574"/>
      <c r="T1" s="1574"/>
      <c r="U1" s="1574"/>
      <c r="V1" s="1574"/>
      <c r="W1" s="1574"/>
      <c r="Z1" s="83"/>
      <c r="AA1" s="612"/>
      <c r="AB1" s="654"/>
      <c r="AC1" s="655"/>
      <c r="AD1" s="656"/>
      <c r="AE1" s="656"/>
      <c r="AF1" s="656"/>
      <c r="AG1" s="656"/>
      <c r="AH1" s="656"/>
      <c r="AI1" s="656"/>
      <c r="AJ1" s="656"/>
      <c r="AK1" s="656"/>
    </row>
    <row r="2" spans="1:38" s="653" customFormat="1" ht="24.95" customHeight="1" thickTop="1" thickBot="1">
      <c r="A2" s="1272" t="s">
        <v>832</v>
      </c>
      <c r="B2" s="1272"/>
      <c r="C2" s="1272"/>
      <c r="D2" s="1272"/>
      <c r="E2" s="1272"/>
      <c r="F2" s="1272"/>
      <c r="G2" s="1272"/>
      <c r="H2" s="1272"/>
      <c r="I2" s="1272"/>
      <c r="J2" s="1272"/>
      <c r="K2" s="1272"/>
      <c r="L2" s="1272"/>
      <c r="M2" s="1272"/>
      <c r="N2" s="1272"/>
      <c r="O2" s="1272"/>
      <c r="P2" s="1272"/>
      <c r="Q2" s="1272"/>
      <c r="R2" s="1272"/>
      <c r="S2" s="1272"/>
      <c r="T2" s="1272"/>
      <c r="U2" s="1272"/>
      <c r="V2" s="1292"/>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70"/>
      <c r="AG3" s="1570"/>
      <c r="AH3" s="1570"/>
      <c r="AI3" s="1570"/>
      <c r="AJ3" s="1570"/>
      <c r="AK3" s="1570"/>
      <c r="AL3" s="1570"/>
    </row>
    <row r="4" spans="1:38" ht="20.25" customHeight="1">
      <c r="D4" s="454" t="s">
        <v>725</v>
      </c>
      <c r="E4" s="1273" t="str">
        <f>表紙!E2</f>
        <v>医療法人徳洲会　松原徳洲会病院</v>
      </c>
      <c r="F4" s="1571"/>
      <c r="G4" s="1571"/>
      <c r="H4" s="1571"/>
      <c r="I4" s="1571"/>
      <c r="J4" s="1571"/>
      <c r="K4" s="1571"/>
      <c r="L4" s="1571"/>
      <c r="M4" s="1571"/>
      <c r="N4" s="1571"/>
      <c r="O4" s="1571"/>
      <c r="P4" s="1571"/>
      <c r="Q4" s="1571"/>
      <c r="R4" s="1571"/>
      <c r="S4" s="1571"/>
      <c r="T4" s="1571"/>
      <c r="U4" s="1571"/>
      <c r="V4" s="1571"/>
      <c r="W4" s="1274"/>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5" t="s">
        <v>1849</v>
      </c>
      <c r="D6" s="1416"/>
      <c r="E6" s="1416"/>
      <c r="F6" s="1416"/>
      <c r="G6" s="1416"/>
      <c r="H6" s="1416"/>
      <c r="I6" s="1416"/>
      <c r="J6" s="1416"/>
      <c r="K6" s="1416"/>
      <c r="L6" s="1416"/>
      <c r="M6" s="1416"/>
      <c r="N6" s="1416"/>
      <c r="O6" s="1416"/>
      <c r="P6" s="1416"/>
      <c r="Q6" s="1416"/>
      <c r="R6" s="1416"/>
      <c r="S6" s="1416"/>
      <c r="T6" s="1416"/>
      <c r="U6" s="1416"/>
      <c r="V6" s="1416"/>
      <c r="W6" s="1420"/>
      <c r="X6" s="621"/>
      <c r="Y6" s="621" t="str">
        <f>IF(C6="","×","○")</f>
        <v>○</v>
      </c>
      <c r="Z6" s="663"/>
      <c r="AA6" s="125"/>
      <c r="AB6" s="664"/>
    </row>
    <row r="7" spans="1:38" ht="25.5" customHeight="1" thickBot="1">
      <c r="A7" s="510">
        <v>2</v>
      </c>
      <c r="B7" s="1572" t="s">
        <v>998</v>
      </c>
      <c r="C7" s="1573"/>
      <c r="D7" s="1575" t="s">
        <v>1850</v>
      </c>
      <c r="E7" s="1576"/>
      <c r="F7" s="1576"/>
      <c r="G7" s="1576"/>
      <c r="H7" s="1576"/>
      <c r="I7" s="1576"/>
      <c r="J7" s="1576"/>
      <c r="K7" s="1576"/>
      <c r="L7" s="1576"/>
      <c r="M7" s="1577"/>
      <c r="N7" s="1352" t="s">
        <v>848</v>
      </c>
      <c r="O7" s="1352"/>
      <c r="P7" s="1352"/>
      <c r="Q7" s="1356"/>
      <c r="R7" s="1357"/>
      <c r="S7" s="1357"/>
      <c r="T7" s="1357"/>
      <c r="U7" s="1357"/>
      <c r="V7" s="1357"/>
      <c r="W7" s="1358"/>
      <c r="X7" s="611"/>
      <c r="Y7" s="621" t="str">
        <f>IF(D7="","×","○")</f>
        <v>○</v>
      </c>
      <c r="AA7" s="125"/>
      <c r="AB7" s="664"/>
    </row>
    <row r="8" spans="1:38" ht="25.5" customHeight="1" thickBot="1">
      <c r="A8" s="1544">
        <v>3</v>
      </c>
      <c r="B8" s="665" t="s">
        <v>999</v>
      </c>
      <c r="C8" s="36" t="s">
        <v>1851</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4"/>
      <c r="B9" s="669" t="s">
        <v>1000</v>
      </c>
      <c r="C9" s="36" t="s">
        <v>875</v>
      </c>
      <c r="D9" s="670"/>
      <c r="W9" s="521"/>
      <c r="X9" s="611"/>
      <c r="Y9" s="621" t="str">
        <f>IF(AND(C8="実施",C9=""),"×","○")</f>
        <v>○</v>
      </c>
      <c r="AA9" s="135"/>
      <c r="AB9" s="463"/>
    </row>
    <row r="10" spans="1:38" ht="25.5" customHeight="1" thickBot="1">
      <c r="A10" s="1544">
        <v>4</v>
      </c>
      <c r="B10" s="671" t="s">
        <v>1001</v>
      </c>
      <c r="C10" s="36" t="s">
        <v>1851</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4"/>
      <c r="B11" s="1578" t="s">
        <v>1002</v>
      </c>
      <c r="C11" s="1579"/>
      <c r="D11" s="1575" t="s">
        <v>1850</v>
      </c>
      <c r="E11" s="1576"/>
      <c r="F11" s="1576"/>
      <c r="G11" s="1576"/>
      <c r="H11" s="1576"/>
      <c r="I11" s="1576"/>
      <c r="J11" s="1576"/>
      <c r="K11" s="1576"/>
      <c r="L11" s="1576"/>
      <c r="M11" s="1577"/>
      <c r="N11" s="1374" t="s">
        <v>848</v>
      </c>
      <c r="O11" s="1375"/>
      <c r="P11" s="1376"/>
      <c r="Q11" s="1356"/>
      <c r="R11" s="1357"/>
      <c r="S11" s="1357"/>
      <c r="T11" s="1357"/>
      <c r="U11" s="1357"/>
      <c r="V11" s="1357"/>
      <c r="W11" s="1358"/>
      <c r="Y11" s="621" t="str">
        <f>IF(AND(C10="実施",D11=""),"×","○")</f>
        <v>○</v>
      </c>
      <c r="AA11" s="135"/>
      <c r="AB11" s="664"/>
    </row>
    <row r="12" spans="1:38" ht="25.5" customHeight="1" thickBot="1">
      <c r="A12" s="1544"/>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4"/>
      <c r="B13" s="677" t="s">
        <v>1004</v>
      </c>
      <c r="C13" s="36" t="s">
        <v>1852</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4"/>
      <c r="B14" s="1578" t="s">
        <v>1005</v>
      </c>
      <c r="C14" s="1579"/>
      <c r="D14" s="1575"/>
      <c r="E14" s="1576"/>
      <c r="F14" s="1576"/>
      <c r="G14" s="1576"/>
      <c r="H14" s="1576"/>
      <c r="I14" s="1576"/>
      <c r="J14" s="1576"/>
      <c r="K14" s="1576"/>
      <c r="L14" s="1576"/>
      <c r="M14" s="1576"/>
      <c r="N14" s="1576"/>
      <c r="O14" s="1576"/>
      <c r="P14" s="1576"/>
      <c r="Q14" s="1576"/>
      <c r="R14" s="1576"/>
      <c r="S14" s="1576"/>
      <c r="T14" s="1576"/>
      <c r="U14" s="1576"/>
      <c r="V14" s="1576"/>
      <c r="W14" s="1577"/>
      <c r="Y14" s="621" t="str">
        <f>IF(AND(C13="実施",D14=""),"×","○")</f>
        <v>○</v>
      </c>
      <c r="AA14" s="135"/>
      <c r="AB14" s="463"/>
    </row>
    <row r="15" spans="1:38" ht="25.5" customHeight="1" thickBot="1">
      <c r="A15" s="1544"/>
      <c r="B15" s="681" t="s">
        <v>1006</v>
      </c>
      <c r="C15" s="36" t="s">
        <v>1852</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4"/>
      <c r="B16" s="1580" t="s">
        <v>1007</v>
      </c>
      <c r="C16" s="1581"/>
      <c r="D16" s="1415"/>
      <c r="E16" s="1416"/>
      <c r="F16" s="1416"/>
      <c r="G16" s="1416"/>
      <c r="H16" s="1416"/>
      <c r="I16" s="1416"/>
      <c r="J16" s="1416"/>
      <c r="K16" s="1416"/>
      <c r="L16" s="1416"/>
      <c r="M16" s="1416"/>
      <c r="N16" s="1416"/>
      <c r="O16" s="1416"/>
      <c r="P16" s="1416"/>
      <c r="Q16" s="1416"/>
      <c r="R16" s="1416"/>
      <c r="S16" s="1416"/>
      <c r="T16" s="1416"/>
      <c r="U16" s="1416"/>
      <c r="V16" s="1416"/>
      <c r="W16" s="1420"/>
      <c r="Y16" s="621" t="str">
        <f>IF(AND(C15="実施",D16=""),"×","○")</f>
        <v>○</v>
      </c>
      <c r="AA16" s="135"/>
      <c r="AB16" s="664"/>
    </row>
    <row r="17" spans="1:28" ht="25.5" customHeight="1" thickBot="1">
      <c r="A17" s="1544"/>
      <c r="B17" s="684" t="s">
        <v>1008</v>
      </c>
      <c r="C17" s="36" t="s">
        <v>1852</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22" zoomScaleNormal="100" zoomScaleSheetLayoutView="100" workbookViewId="0">
      <selection activeCell="A35" sqref="A35:H38"/>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0" t="s">
        <v>1009</v>
      </c>
      <c r="B1" s="1270"/>
      <c r="C1" s="1270"/>
      <c r="D1" s="1270"/>
      <c r="E1" s="1270"/>
      <c r="F1" s="1270"/>
      <c r="G1" s="1270"/>
      <c r="H1" s="1270"/>
      <c r="I1" s="1270"/>
      <c r="L1" s="83"/>
      <c r="M1" s="148"/>
    </row>
    <row r="2" spans="1:13" s="685" customFormat="1" ht="24.95" customHeight="1" thickTop="1" thickBot="1">
      <c r="A2" s="1383" t="s">
        <v>877</v>
      </c>
      <c r="B2" s="1383"/>
      <c r="C2" s="1383"/>
      <c r="D2" s="1383"/>
      <c r="E2" s="1383"/>
      <c r="F2" s="1383"/>
      <c r="G2" s="1383"/>
      <c r="H2" s="1384"/>
      <c r="I2" s="388" t="str">
        <f>IF(COUNTIF(K:K,"×")&gt;=1,"未入力あり","入力済")</f>
        <v>入力済</v>
      </c>
      <c r="J2" s="1278"/>
      <c r="K2" s="452"/>
      <c r="L2" s="83"/>
      <c r="M2" s="148"/>
    </row>
    <row r="3" spans="1:13" ht="4.7" customHeight="1" thickTop="1">
      <c r="F3" s="686"/>
      <c r="G3" s="686"/>
      <c r="H3" s="686"/>
      <c r="J3" s="1278"/>
      <c r="K3" s="452"/>
      <c r="L3" s="51"/>
    </row>
    <row r="4" spans="1:13" ht="20.100000000000001" customHeight="1">
      <c r="E4" s="454" t="s">
        <v>725</v>
      </c>
      <c r="F4" s="1600" t="str">
        <f>表紙!E2</f>
        <v>医療法人徳洲会　松原徳洲会病院</v>
      </c>
      <c r="G4" s="1601"/>
      <c r="H4" s="1601"/>
      <c r="I4" s="1602"/>
      <c r="J4" s="1278"/>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06" t="s">
        <v>1010</v>
      </c>
      <c r="B6" s="1606"/>
      <c r="C6" s="1606"/>
      <c r="D6" s="1606"/>
      <c r="E6" s="1606"/>
      <c r="F6" s="1606"/>
      <c r="G6" s="1606"/>
      <c r="H6" s="1606"/>
      <c r="I6" s="1606"/>
      <c r="J6" s="688"/>
      <c r="K6" s="688"/>
      <c r="M6" s="74"/>
    </row>
    <row r="7" spans="1:13" ht="72.75" customHeight="1">
      <c r="A7" s="1613" t="s">
        <v>1669</v>
      </c>
      <c r="B7" s="1613"/>
      <c r="C7" s="1613"/>
      <c r="D7" s="1613"/>
      <c r="E7" s="1613"/>
      <c r="F7" s="1613"/>
      <c r="G7" s="1613"/>
      <c r="H7" s="1614"/>
      <c r="I7" s="688"/>
      <c r="J7" s="688"/>
      <c r="M7" s="74"/>
    </row>
    <row r="8" spans="1:13" ht="42.75" customHeight="1">
      <c r="A8" s="689"/>
      <c r="B8" s="1101" t="s">
        <v>1602</v>
      </c>
      <c r="C8" s="1615" t="s">
        <v>1012</v>
      </c>
      <c r="D8" s="1616"/>
      <c r="E8" s="690" t="s">
        <v>1011</v>
      </c>
      <c r="F8" s="1609" t="s">
        <v>1013</v>
      </c>
      <c r="G8" s="1610"/>
      <c r="H8" s="690" t="s">
        <v>1014</v>
      </c>
      <c r="M8" s="128"/>
    </row>
    <row r="9" spans="1:13" s="694" customFormat="1" ht="15" customHeight="1">
      <c r="A9" s="691" t="s">
        <v>1015</v>
      </c>
      <c r="B9" s="692" t="s">
        <v>1016</v>
      </c>
      <c r="C9" s="1607" t="s">
        <v>1017</v>
      </c>
      <c r="D9" s="1608"/>
      <c r="E9" s="693">
        <v>3</v>
      </c>
      <c r="F9" s="1611">
        <v>2</v>
      </c>
      <c r="G9" s="1612"/>
      <c r="H9" s="693">
        <v>3</v>
      </c>
      <c r="K9" s="387"/>
      <c r="L9" s="695"/>
      <c r="M9" s="74"/>
    </row>
    <row r="10" spans="1:13" s="694" customFormat="1" ht="15" customHeight="1" thickBot="1">
      <c r="A10" s="696" t="s">
        <v>1015</v>
      </c>
      <c r="B10" s="697" t="s">
        <v>1018</v>
      </c>
      <c r="C10" s="1607" t="s">
        <v>1019</v>
      </c>
      <c r="D10" s="1608"/>
      <c r="E10" s="693">
        <v>2</v>
      </c>
      <c r="F10" s="1611">
        <v>1</v>
      </c>
      <c r="G10" s="1612"/>
      <c r="H10" s="693">
        <v>2</v>
      </c>
      <c r="K10" s="387"/>
      <c r="L10" s="695"/>
      <c r="M10" s="74"/>
    </row>
    <row r="11" spans="1:13" ht="22.5" customHeight="1" thickBot="1">
      <c r="A11" s="510">
        <v>1</v>
      </c>
      <c r="B11" s="698" t="s">
        <v>1020</v>
      </c>
      <c r="C11" s="1586" t="s">
        <v>1017</v>
      </c>
      <c r="D11" s="1587"/>
      <c r="E11" s="54">
        <v>1</v>
      </c>
      <c r="F11" s="1582">
        <v>1</v>
      </c>
      <c r="G11" s="1583"/>
      <c r="H11" s="54">
        <v>1</v>
      </c>
      <c r="K11" s="387" t="str">
        <f>IF(AND(E11&lt;&gt;"",F11&lt;&gt;"",H11&lt;&gt;""),"○","×")</f>
        <v>○</v>
      </c>
      <c r="M11" s="74"/>
    </row>
    <row r="12" spans="1:13" ht="22.5" customHeight="1" thickBot="1">
      <c r="A12" s="510">
        <v>2</v>
      </c>
      <c r="B12" s="698" t="s">
        <v>1020</v>
      </c>
      <c r="C12" s="1586" t="s">
        <v>1019</v>
      </c>
      <c r="D12" s="1587"/>
      <c r="E12" s="54">
        <v>0</v>
      </c>
      <c r="F12" s="1582">
        <v>0</v>
      </c>
      <c r="G12" s="1583"/>
      <c r="H12" s="54">
        <v>0</v>
      </c>
      <c r="K12" s="387" t="str">
        <f t="shared" ref="K12:K19" si="0">IF(AND(E12&lt;&gt;"",F12&lt;&gt;"",H12&lt;&gt;""),"○","×")</f>
        <v>○</v>
      </c>
      <c r="M12" s="74"/>
    </row>
    <row r="13" spans="1:13" ht="22.5" customHeight="1" thickBot="1">
      <c r="A13" s="510">
        <v>3</v>
      </c>
      <c r="B13" s="698" t="s">
        <v>1020</v>
      </c>
      <c r="C13" s="1586" t="s">
        <v>1021</v>
      </c>
      <c r="D13" s="1587"/>
      <c r="E13" s="54">
        <v>1</v>
      </c>
      <c r="F13" s="1582">
        <v>1</v>
      </c>
      <c r="G13" s="1583"/>
      <c r="H13" s="54">
        <v>1</v>
      </c>
      <c r="K13" s="387" t="str">
        <f t="shared" si="0"/>
        <v>○</v>
      </c>
      <c r="M13" s="74"/>
    </row>
    <row r="14" spans="1:13" ht="22.5" customHeight="1" thickBot="1">
      <c r="A14" s="510">
        <v>4</v>
      </c>
      <c r="B14" s="698" t="s">
        <v>1022</v>
      </c>
      <c r="C14" s="1586" t="s">
        <v>1017</v>
      </c>
      <c r="D14" s="1587"/>
      <c r="E14" s="54">
        <v>0</v>
      </c>
      <c r="F14" s="1582">
        <v>0</v>
      </c>
      <c r="G14" s="1583"/>
      <c r="H14" s="54">
        <v>0</v>
      </c>
      <c r="K14" s="387" t="str">
        <f t="shared" si="0"/>
        <v>○</v>
      </c>
      <c r="M14" s="74"/>
    </row>
    <row r="15" spans="1:13" ht="22.5" customHeight="1" thickBot="1">
      <c r="A15" s="510">
        <v>5</v>
      </c>
      <c r="B15" s="698" t="s">
        <v>1022</v>
      </c>
      <c r="C15" s="1586" t="s">
        <v>1019</v>
      </c>
      <c r="D15" s="1587"/>
      <c r="E15" s="54">
        <v>0</v>
      </c>
      <c r="F15" s="1582">
        <v>0</v>
      </c>
      <c r="G15" s="1583"/>
      <c r="H15" s="54">
        <v>0</v>
      </c>
      <c r="K15" s="387" t="str">
        <f>IF(AND(E15&lt;&gt;"",F15&lt;&gt;"",H15&lt;&gt;""),"○","×")</f>
        <v>○</v>
      </c>
      <c r="M15" s="74"/>
    </row>
    <row r="16" spans="1:13" ht="22.5" customHeight="1" thickBot="1">
      <c r="A16" s="510">
        <v>6</v>
      </c>
      <c r="B16" s="698" t="s">
        <v>1022</v>
      </c>
      <c r="C16" s="1586" t="s">
        <v>1021</v>
      </c>
      <c r="D16" s="1587"/>
      <c r="E16" s="54">
        <v>1</v>
      </c>
      <c r="F16" s="1582">
        <v>1</v>
      </c>
      <c r="G16" s="1583"/>
      <c r="H16" s="54">
        <v>0</v>
      </c>
      <c r="K16" s="387" t="str">
        <f t="shared" si="0"/>
        <v>○</v>
      </c>
      <c r="M16" s="74"/>
    </row>
    <row r="17" spans="1:13" ht="22.5" customHeight="1" thickBot="1">
      <c r="A17" s="510">
        <v>7</v>
      </c>
      <c r="B17" s="698" t="s">
        <v>1023</v>
      </c>
      <c r="C17" s="1586" t="s">
        <v>1017</v>
      </c>
      <c r="D17" s="1587"/>
      <c r="E17" s="54">
        <v>0</v>
      </c>
      <c r="F17" s="1582">
        <v>0</v>
      </c>
      <c r="G17" s="1583"/>
      <c r="H17" s="54">
        <v>0</v>
      </c>
      <c r="K17" s="387" t="str">
        <f t="shared" si="0"/>
        <v>○</v>
      </c>
      <c r="M17" s="74"/>
    </row>
    <row r="18" spans="1:13" ht="22.5" customHeight="1" thickBot="1">
      <c r="A18" s="510">
        <v>8</v>
      </c>
      <c r="B18" s="699" t="s">
        <v>1023</v>
      </c>
      <c r="C18" s="1586" t="s">
        <v>1019</v>
      </c>
      <c r="D18" s="1587"/>
      <c r="E18" s="54">
        <v>0</v>
      </c>
      <c r="F18" s="1582">
        <v>0</v>
      </c>
      <c r="G18" s="1583"/>
      <c r="H18" s="54">
        <v>0</v>
      </c>
      <c r="K18" s="387" t="str">
        <f t="shared" si="0"/>
        <v>○</v>
      </c>
      <c r="M18" s="74"/>
    </row>
    <row r="19" spans="1:13" ht="22.5" customHeight="1" thickBot="1">
      <c r="A19" s="510">
        <v>9</v>
      </c>
      <c r="B19" s="699" t="s">
        <v>1023</v>
      </c>
      <c r="C19" s="1604" t="s">
        <v>1021</v>
      </c>
      <c r="D19" s="1605"/>
      <c r="E19" s="54">
        <v>0</v>
      </c>
      <c r="F19" s="1582">
        <v>0</v>
      </c>
      <c r="G19" s="1583"/>
      <c r="H19" s="54">
        <v>0</v>
      </c>
      <c r="K19" s="387" t="str">
        <f t="shared" si="0"/>
        <v>○</v>
      </c>
      <c r="M19" s="74"/>
    </row>
    <row r="20" spans="1:13" ht="22.5" customHeight="1" thickBot="1">
      <c r="A20" s="510">
        <v>10</v>
      </c>
      <c r="B20" s="102" t="s">
        <v>239</v>
      </c>
      <c r="C20" s="1584" t="s">
        <v>1021</v>
      </c>
      <c r="D20" s="1585"/>
      <c r="E20" s="54">
        <v>1</v>
      </c>
      <c r="F20" s="1582">
        <v>1</v>
      </c>
      <c r="G20" s="1583"/>
      <c r="H20" s="54">
        <v>0</v>
      </c>
      <c r="M20" s="74"/>
    </row>
    <row r="21" spans="1:13" ht="22.5" customHeight="1" thickBot="1">
      <c r="A21" s="510">
        <v>11</v>
      </c>
      <c r="B21" s="102"/>
      <c r="C21" s="1584"/>
      <c r="D21" s="1585"/>
      <c r="E21" s="54"/>
      <c r="F21" s="1582"/>
      <c r="G21" s="1583"/>
      <c r="H21" s="54"/>
      <c r="M21" s="74"/>
    </row>
    <row r="22" spans="1:13" ht="22.5" customHeight="1" thickBot="1">
      <c r="A22" s="510">
        <v>12</v>
      </c>
      <c r="B22" s="102"/>
      <c r="C22" s="1584"/>
      <c r="D22" s="1585"/>
      <c r="E22" s="54"/>
      <c r="F22" s="1582"/>
      <c r="G22" s="1583"/>
      <c r="H22" s="54"/>
      <c r="M22" s="74"/>
    </row>
    <row r="23" spans="1:13" ht="22.5" customHeight="1" thickBot="1">
      <c r="A23" s="510">
        <v>13</v>
      </c>
      <c r="B23" s="102"/>
      <c r="C23" s="1584"/>
      <c r="D23" s="1585"/>
      <c r="E23" s="54"/>
      <c r="F23" s="1582"/>
      <c r="G23" s="1583"/>
      <c r="H23" s="54"/>
      <c r="M23" s="74"/>
    </row>
    <row r="24" spans="1:13" ht="22.5" customHeight="1" thickBot="1">
      <c r="A24" s="510">
        <v>14</v>
      </c>
      <c r="B24" s="102"/>
      <c r="C24" s="1584"/>
      <c r="D24" s="1585"/>
      <c r="E24" s="54"/>
      <c r="F24" s="1582"/>
      <c r="G24" s="1583"/>
      <c r="H24" s="54"/>
      <c r="M24" s="74"/>
    </row>
    <row r="25" spans="1:13" ht="22.5" customHeight="1" thickBot="1">
      <c r="A25" s="510">
        <v>15</v>
      </c>
      <c r="B25" s="102"/>
      <c r="C25" s="1584"/>
      <c r="D25" s="1585"/>
      <c r="E25" s="54"/>
      <c r="F25" s="1582"/>
      <c r="G25" s="1583"/>
      <c r="H25" s="54"/>
      <c r="M25" s="74"/>
    </row>
    <row r="26" spans="1:13" ht="22.5" customHeight="1" thickBot="1">
      <c r="A26" s="510">
        <v>16</v>
      </c>
      <c r="B26" s="102"/>
      <c r="C26" s="1584"/>
      <c r="D26" s="1585"/>
      <c r="E26" s="54"/>
      <c r="F26" s="1582"/>
      <c r="G26" s="1583"/>
      <c r="H26" s="54"/>
      <c r="M26" s="74"/>
    </row>
    <row r="27" spans="1:13" ht="22.5" customHeight="1" thickBot="1">
      <c r="A27" s="510">
        <v>17</v>
      </c>
      <c r="B27" s="102"/>
      <c r="C27" s="1584"/>
      <c r="D27" s="1585"/>
      <c r="E27" s="54"/>
      <c r="F27" s="1582"/>
      <c r="G27" s="1583"/>
      <c r="H27" s="54"/>
      <c r="M27" s="74"/>
    </row>
    <row r="28" spans="1:13" ht="22.5" customHeight="1" thickBot="1">
      <c r="A28" s="510">
        <v>18</v>
      </c>
      <c r="B28" s="102"/>
      <c r="C28" s="1584"/>
      <c r="D28" s="1585"/>
      <c r="E28" s="54"/>
      <c r="F28" s="1582"/>
      <c r="G28" s="1583"/>
      <c r="H28" s="54"/>
      <c r="M28" s="74"/>
    </row>
    <row r="29" spans="1:13" ht="22.5" customHeight="1" thickBot="1">
      <c r="A29" s="510">
        <v>19</v>
      </c>
      <c r="B29" s="102"/>
      <c r="C29" s="1584"/>
      <c r="D29" s="1585"/>
      <c r="E29" s="54"/>
      <c r="F29" s="1582"/>
      <c r="G29" s="1583"/>
      <c r="H29" s="54"/>
      <c r="M29" s="74"/>
    </row>
    <row r="30" spans="1:13" ht="22.5" customHeight="1" thickBot="1">
      <c r="A30" s="510">
        <v>20</v>
      </c>
      <c r="B30" s="102"/>
      <c r="C30" s="1584"/>
      <c r="D30" s="1585"/>
      <c r="E30" s="54"/>
      <c r="F30" s="1582"/>
      <c r="G30" s="1583"/>
      <c r="H30" s="54"/>
      <c r="M30" s="125"/>
    </row>
    <row r="31" spans="1:13" ht="33" customHeight="1">
      <c r="A31" s="1603" t="s">
        <v>1024</v>
      </c>
      <c r="B31" s="1603"/>
      <c r="C31" s="1603"/>
      <c r="D31" s="1603"/>
      <c r="E31" s="1603"/>
      <c r="F31" s="1603"/>
      <c r="G31" s="1603"/>
      <c r="H31" s="1603"/>
      <c r="I31" s="1603"/>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88" t="s">
        <v>1028</v>
      </c>
      <c r="B34" s="1589"/>
      <c r="C34" s="1589"/>
      <c r="D34" s="1589"/>
      <c r="E34" s="1589"/>
      <c r="F34" s="1589"/>
      <c r="G34" s="1589"/>
      <c r="H34" s="1590"/>
      <c r="M34" s="74"/>
    </row>
    <row r="35" spans="1:13" ht="20.100000000000001" customHeight="1">
      <c r="A35" s="1591" t="s">
        <v>1853</v>
      </c>
      <c r="B35" s="1592"/>
      <c r="C35" s="1592"/>
      <c r="D35" s="1592"/>
      <c r="E35" s="1592"/>
      <c r="F35" s="1592"/>
      <c r="G35" s="1592"/>
      <c r="H35" s="1593"/>
      <c r="K35" s="387" t="str">
        <f>IF(A35="","×","○")</f>
        <v>○</v>
      </c>
      <c r="M35" s="74"/>
    </row>
    <row r="36" spans="1:13" ht="20.100000000000001" customHeight="1">
      <c r="A36" s="1594"/>
      <c r="B36" s="1595"/>
      <c r="C36" s="1595"/>
      <c r="D36" s="1595"/>
      <c r="E36" s="1595"/>
      <c r="F36" s="1595"/>
      <c r="G36" s="1595"/>
      <c r="H36" s="1596"/>
      <c r="M36" s="74"/>
    </row>
    <row r="37" spans="1:13" ht="20.100000000000001" customHeight="1">
      <c r="A37" s="1594"/>
      <c r="B37" s="1595"/>
      <c r="C37" s="1595"/>
      <c r="D37" s="1595"/>
      <c r="E37" s="1595"/>
      <c r="F37" s="1595"/>
      <c r="G37" s="1595"/>
      <c r="H37" s="1596"/>
      <c r="M37" s="74"/>
    </row>
    <row r="38" spans="1:13" ht="20.100000000000001" customHeight="1" thickBot="1">
      <c r="A38" s="1597"/>
      <c r="B38" s="1598"/>
      <c r="C38" s="1598"/>
      <c r="D38" s="1598"/>
      <c r="E38" s="1598"/>
      <c r="F38" s="1598"/>
      <c r="G38" s="1598"/>
      <c r="H38" s="1599"/>
      <c r="M38" s="74"/>
    </row>
    <row r="39" spans="1:13" ht="24" customHeight="1">
      <c r="A39" s="1603" t="s">
        <v>1029</v>
      </c>
      <c r="B39" s="1603"/>
      <c r="C39" s="1603"/>
      <c r="D39" s="1603"/>
      <c r="E39" s="1603"/>
      <c r="F39" s="1603"/>
      <c r="G39" s="1603"/>
      <c r="H39" s="1603"/>
      <c r="I39" s="1603"/>
      <c r="J39" s="700"/>
      <c r="L39" s="406" t="s">
        <v>1025</v>
      </c>
      <c r="M39" s="74"/>
    </row>
    <row r="40" spans="1:13" ht="20.100000000000001" customHeight="1" thickBot="1">
      <c r="A40" s="1588" t="s">
        <v>1030</v>
      </c>
      <c r="B40" s="1589"/>
      <c r="C40" s="1589"/>
      <c r="D40" s="1589"/>
      <c r="E40" s="1589"/>
      <c r="F40" s="1589"/>
      <c r="G40" s="1589"/>
      <c r="H40" s="1590"/>
      <c r="M40" s="74"/>
    </row>
    <row r="41" spans="1:13" ht="20.100000000000001" customHeight="1">
      <c r="A41" s="1591" t="s">
        <v>1854</v>
      </c>
      <c r="B41" s="1592"/>
      <c r="C41" s="1592"/>
      <c r="D41" s="1592"/>
      <c r="E41" s="1592"/>
      <c r="F41" s="1592"/>
      <c r="G41" s="1592"/>
      <c r="H41" s="1593"/>
      <c r="K41" s="387" t="str">
        <f>IF(A41="","×","○")</f>
        <v>○</v>
      </c>
      <c r="M41" s="74"/>
    </row>
    <row r="42" spans="1:13" ht="20.100000000000001" customHeight="1">
      <c r="A42" s="1594"/>
      <c r="B42" s="1595"/>
      <c r="C42" s="1595"/>
      <c r="D42" s="1595"/>
      <c r="E42" s="1595"/>
      <c r="F42" s="1595"/>
      <c r="G42" s="1595"/>
      <c r="H42" s="1596"/>
      <c r="M42" s="74"/>
    </row>
    <row r="43" spans="1:13" ht="20.100000000000001" customHeight="1">
      <c r="A43" s="1594"/>
      <c r="B43" s="1595"/>
      <c r="C43" s="1595"/>
      <c r="D43" s="1595"/>
      <c r="E43" s="1595"/>
      <c r="F43" s="1595"/>
      <c r="G43" s="1595"/>
      <c r="H43" s="1596"/>
      <c r="M43" s="74"/>
    </row>
    <row r="44" spans="1:13" ht="20.100000000000001" customHeight="1" thickBot="1">
      <c r="A44" s="1597"/>
      <c r="B44" s="1598"/>
      <c r="C44" s="1598"/>
      <c r="D44" s="1598"/>
      <c r="E44" s="1598"/>
      <c r="F44" s="1598"/>
      <c r="G44" s="1598"/>
      <c r="H44" s="1599"/>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25" zoomScaleNormal="85" zoomScaleSheetLayoutView="100" workbookViewId="0">
      <selection activeCell="D49" sqref="D49:G49"/>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69" t="s">
        <v>1031</v>
      </c>
      <c r="B1" s="1269"/>
      <c r="C1" s="1269"/>
      <c r="D1" s="1269"/>
      <c r="E1" s="1269"/>
      <c r="F1" s="1269"/>
      <c r="G1" s="1269"/>
      <c r="H1" s="1269"/>
      <c r="K1" s="53"/>
    </row>
    <row r="2" spans="1:15" ht="31.5" customHeight="1" thickTop="1" thickBot="1">
      <c r="A2" s="1272" t="s">
        <v>877</v>
      </c>
      <c r="B2" s="1272"/>
      <c r="C2" s="1272"/>
      <c r="D2" s="1272"/>
      <c r="E2" s="1272"/>
      <c r="F2" s="1272"/>
      <c r="G2" s="1292"/>
      <c r="H2" s="388" t="str">
        <f>IF(COUNTIF(J7:J46,"×")&gt;=1,"未入力あり","入力済")</f>
        <v>入力済</v>
      </c>
      <c r="I2" s="1618"/>
      <c r="J2" s="705"/>
      <c r="K2" s="53"/>
      <c r="M2" s="85"/>
    </row>
    <row r="3" spans="1:15" ht="5.0999999999999996" customHeight="1" thickTop="1">
      <c r="I3" s="1618"/>
      <c r="J3" s="705"/>
      <c r="K3" s="8"/>
    </row>
    <row r="4" spans="1:15" ht="20.100000000000001" customHeight="1">
      <c r="D4" s="454" t="s">
        <v>725</v>
      </c>
      <c r="E4" s="1600" t="str">
        <f>表紙!E2</f>
        <v>医療法人徳洲会　松原徳洲会病院</v>
      </c>
      <c r="F4" s="1601"/>
      <c r="G4" s="1601"/>
      <c r="H4" s="1602"/>
      <c r="I4" s="1618"/>
      <c r="J4" s="705"/>
      <c r="K4" s="53"/>
    </row>
    <row r="5" spans="1:15" ht="20.100000000000001" customHeight="1">
      <c r="D5" s="1096" t="s">
        <v>878</v>
      </c>
      <c r="E5" s="1" t="str">
        <f>別紙1未充足要件!E5</f>
        <v>令和７年９月１日時点</v>
      </c>
      <c r="F5" s="391"/>
      <c r="I5" s="1618"/>
      <c r="J5" s="705"/>
      <c r="M5" s="139" t="s">
        <v>204</v>
      </c>
    </row>
    <row r="6" spans="1:15" s="437" customFormat="1" ht="18" customHeight="1" thickBot="1">
      <c r="A6" s="1631" t="s">
        <v>1032</v>
      </c>
      <c r="B6" s="1631"/>
      <c r="C6" s="1631"/>
      <c r="D6" s="1631"/>
      <c r="E6" s="1631"/>
      <c r="F6" s="1631"/>
      <c r="G6" s="1631"/>
      <c r="H6" s="1631"/>
      <c r="I6" s="1618"/>
      <c r="J6" s="705"/>
      <c r="L6" s="51"/>
      <c r="M6" s="74"/>
    </row>
    <row r="7" spans="1:15" s="437" customFormat="1" ht="18" customHeight="1" thickBot="1">
      <c r="A7" s="437" t="s">
        <v>1033</v>
      </c>
      <c r="D7" s="706"/>
      <c r="E7" s="1471">
        <v>1</v>
      </c>
      <c r="F7" s="1472"/>
      <c r="G7" s="1630" t="str">
        <f>G12</f>
        <v>（期間：令和６年１月１日～12月31日）</v>
      </c>
      <c r="H7" s="1631"/>
      <c r="J7" s="437" t="str">
        <f>IF(E7="","×","○")</f>
        <v>○</v>
      </c>
      <c r="L7" s="51"/>
      <c r="M7" s="74"/>
      <c r="N7" s="491">
        <v>0</v>
      </c>
      <c r="O7" s="500">
        <v>100</v>
      </c>
    </row>
    <row r="8" spans="1:15" s="437" customFormat="1" ht="53.25" customHeight="1" thickBot="1">
      <c r="A8" s="439" t="s">
        <v>1034</v>
      </c>
      <c r="B8" s="439"/>
      <c r="C8" s="439"/>
      <c r="D8" s="706"/>
      <c r="E8" s="1628" t="s">
        <v>1855</v>
      </c>
      <c r="F8" s="1629"/>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1" t="s">
        <v>1037</v>
      </c>
      <c r="B10" s="1570"/>
      <c r="C10" s="1570"/>
      <c r="D10" s="1634"/>
      <c r="E10" s="1632" t="s">
        <v>1777</v>
      </c>
      <c r="F10" s="1633"/>
      <c r="G10" s="706" t="s">
        <v>1038</v>
      </c>
      <c r="H10" s="706"/>
      <c r="J10" s="437" t="str">
        <f>IF(E10="","×","○")</f>
        <v>○</v>
      </c>
      <c r="L10" s="51"/>
      <c r="M10" s="74"/>
    </row>
    <row r="11" spans="1:15" s="437" customFormat="1" ht="32.25" customHeight="1" thickBot="1">
      <c r="A11" s="439" t="s">
        <v>1039</v>
      </c>
      <c r="B11" s="439"/>
      <c r="C11" s="439"/>
      <c r="D11" s="439"/>
      <c r="E11" s="1628" t="s">
        <v>1856</v>
      </c>
      <c r="F11" s="1629"/>
      <c r="G11" s="706" t="s">
        <v>1040</v>
      </c>
      <c r="H11" s="706"/>
      <c r="J11" s="437" t="str">
        <f>IF(AND(E10="はい",E11=""),"×","○")</f>
        <v>○</v>
      </c>
      <c r="L11" s="51"/>
      <c r="M11" s="74"/>
    </row>
    <row r="12" spans="1:15" s="437" customFormat="1" ht="28.5" customHeight="1" thickBot="1">
      <c r="A12" s="439" t="s">
        <v>1041</v>
      </c>
      <c r="B12" s="439"/>
      <c r="C12" s="439"/>
      <c r="D12" s="439"/>
      <c r="E12" s="1471">
        <v>24</v>
      </c>
      <c r="F12" s="1472"/>
      <c r="G12" s="1630" t="str">
        <f>G18</f>
        <v>（期間：令和６年１月１日～12月31日）</v>
      </c>
      <c r="H12" s="1631"/>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8" t="s">
        <v>1857</v>
      </c>
      <c r="F14" s="1629"/>
      <c r="G14" s="706" t="s">
        <v>1040</v>
      </c>
      <c r="H14" s="706"/>
      <c r="J14" s="437" t="str">
        <f>IF(E14="","×","○")</f>
        <v>○</v>
      </c>
      <c r="L14" s="51"/>
      <c r="M14" s="125"/>
    </row>
    <row r="15" spans="1:15" s="437" customFormat="1" ht="18" customHeight="1" thickBot="1">
      <c r="A15" s="1090" t="s">
        <v>1043</v>
      </c>
      <c r="B15" s="1090"/>
      <c r="C15" s="439"/>
      <c r="D15" s="706"/>
      <c r="E15" s="1632" t="s">
        <v>1777</v>
      </c>
      <c r="F15" s="1633"/>
      <c r="G15" s="706" t="s">
        <v>1038</v>
      </c>
      <c r="H15" s="706"/>
      <c r="J15" s="437" t="str">
        <f t="shared" ref="J15:J16" si="0">IF(E15="","×","○")</f>
        <v>○</v>
      </c>
      <c r="L15" s="51"/>
      <c r="M15" s="125"/>
    </row>
    <row r="16" spans="1:15" s="437" customFormat="1" ht="18" customHeight="1" thickBot="1">
      <c r="A16" s="1090" t="s">
        <v>1044</v>
      </c>
      <c r="B16" s="1090"/>
      <c r="C16" s="439"/>
      <c r="D16" s="706"/>
      <c r="E16" s="1632" t="s">
        <v>1776</v>
      </c>
      <c r="F16" s="1633"/>
      <c r="G16" s="706" t="s">
        <v>1038</v>
      </c>
      <c r="H16" s="706"/>
      <c r="J16" s="437" t="str">
        <f t="shared" si="0"/>
        <v>○</v>
      </c>
      <c r="L16" s="51"/>
      <c r="M16" s="125"/>
    </row>
    <row r="17" spans="1:15" s="437" customFormat="1" ht="18" customHeight="1" thickBot="1">
      <c r="A17" s="1090" t="s">
        <v>1664</v>
      </c>
      <c r="B17" s="1090"/>
      <c r="C17" s="439"/>
      <c r="D17" s="706"/>
      <c r="E17" s="1635"/>
      <c r="F17" s="1635"/>
      <c r="H17" s="706"/>
      <c r="L17" s="51"/>
      <c r="M17" s="125"/>
    </row>
    <row r="18" spans="1:15" s="437" customFormat="1" ht="18" customHeight="1" thickBot="1">
      <c r="A18" s="1090" t="s">
        <v>1665</v>
      </c>
      <c r="B18" s="1090"/>
      <c r="C18" s="439"/>
      <c r="D18" s="706"/>
      <c r="E18" s="1471">
        <v>0</v>
      </c>
      <c r="F18" s="1472"/>
      <c r="G18" s="437" t="s">
        <v>1688</v>
      </c>
      <c r="H18" s="706"/>
      <c r="J18" s="437" t="str">
        <f>IF(E18="","×","○")</f>
        <v>○</v>
      </c>
      <c r="L18" s="51"/>
      <c r="M18" s="125"/>
      <c r="N18" s="491">
        <v>0</v>
      </c>
      <c r="O18" s="500">
        <v>100</v>
      </c>
    </row>
    <row r="19" spans="1:15" s="437" customFormat="1" ht="18" customHeight="1" thickBot="1">
      <c r="A19" s="1090" t="s">
        <v>1666</v>
      </c>
      <c r="B19" s="1090"/>
      <c r="C19" s="439"/>
      <c r="D19" s="706"/>
      <c r="E19" s="1471">
        <v>0</v>
      </c>
      <c r="F19" s="1472"/>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2" t="s">
        <v>1777</v>
      </c>
      <c r="F20" s="1633"/>
      <c r="G20" s="706" t="s">
        <v>1038</v>
      </c>
      <c r="H20" s="706"/>
      <c r="J20" s="437" t="str">
        <f>IF(E20="","×","○")</f>
        <v>○</v>
      </c>
      <c r="L20" s="51"/>
      <c r="M20" s="74"/>
    </row>
    <row r="21" spans="1:15" s="437" customFormat="1" ht="51" customHeight="1" thickBot="1">
      <c r="A21" s="439" t="s">
        <v>1046</v>
      </c>
      <c r="B21" s="439"/>
      <c r="C21" s="439"/>
      <c r="D21" s="706"/>
      <c r="E21" s="1628" t="s">
        <v>1858</v>
      </c>
      <c r="F21" s="1629"/>
      <c r="G21" s="706" t="s">
        <v>1040</v>
      </c>
      <c r="H21" s="706"/>
      <c r="J21" s="437" t="str">
        <f>IF(AND(E20="はい",E21=""),"×","○")</f>
        <v>○</v>
      </c>
      <c r="L21" s="51"/>
      <c r="M21" s="74"/>
    </row>
    <row r="22" spans="1:15" s="437" customFormat="1" ht="18" customHeight="1" thickBot="1">
      <c r="A22" s="439" t="s">
        <v>1047</v>
      </c>
      <c r="B22" s="439"/>
      <c r="C22" s="439"/>
      <c r="D22" s="706"/>
      <c r="E22" s="1632" t="s">
        <v>1776</v>
      </c>
      <c r="F22" s="1633"/>
      <c r="G22" s="706" t="s">
        <v>1038</v>
      </c>
      <c r="H22" s="706"/>
      <c r="J22" s="437" t="str">
        <f>IF(E22="","×","○")</f>
        <v>○</v>
      </c>
      <c r="L22" s="51"/>
      <c r="M22" s="74"/>
    </row>
    <row r="23" spans="1:15" s="437" customFormat="1" ht="55.5" customHeight="1" thickBot="1">
      <c r="A23" s="439" t="s">
        <v>1048</v>
      </c>
      <c r="B23" s="439"/>
      <c r="C23" s="439"/>
      <c r="D23" s="706"/>
      <c r="E23" s="1628" t="s">
        <v>1778</v>
      </c>
      <c r="F23" s="1629"/>
      <c r="G23" s="706" t="s">
        <v>1040</v>
      </c>
      <c r="H23" s="706"/>
      <c r="J23" s="437" t="str">
        <f>IF(AND(E22="はい",E23=""),"×","○")</f>
        <v>○</v>
      </c>
      <c r="L23" s="51"/>
      <c r="M23" s="74"/>
    </row>
    <row r="24" spans="1:15" s="437" customFormat="1" ht="18" customHeight="1" thickBot="1">
      <c r="A24" s="439" t="s">
        <v>1049</v>
      </c>
      <c r="B24" s="439"/>
      <c r="C24" s="439"/>
      <c r="D24" s="706"/>
      <c r="E24" s="1632" t="s">
        <v>1777</v>
      </c>
      <c r="F24" s="1633"/>
      <c r="G24" s="706" t="s">
        <v>1038</v>
      </c>
      <c r="H24" s="706"/>
      <c r="J24" s="437" t="str">
        <f t="shared" ref="J24:J28" si="1">IF(E24="","×","○")</f>
        <v>○</v>
      </c>
      <c r="L24" s="51"/>
      <c r="M24" s="74"/>
    </row>
    <row r="25" spans="1:15" s="437" customFormat="1" ht="18" customHeight="1" thickBot="1">
      <c r="A25" s="439" t="s">
        <v>1050</v>
      </c>
      <c r="B25" s="439"/>
      <c r="C25" s="439"/>
      <c r="D25" s="706"/>
      <c r="E25" s="1632" t="s">
        <v>1776</v>
      </c>
      <c r="F25" s="1633"/>
      <c r="G25" s="706" t="s">
        <v>1038</v>
      </c>
      <c r="H25" s="706"/>
      <c r="J25" s="437" t="str">
        <f t="shared" si="1"/>
        <v>○</v>
      </c>
      <c r="L25" s="51"/>
      <c r="M25" s="74"/>
    </row>
    <row r="26" spans="1:15" s="437" customFormat="1" ht="18" customHeight="1" thickBot="1">
      <c r="A26" s="439" t="s">
        <v>1051</v>
      </c>
      <c r="B26" s="439"/>
      <c r="C26" s="439"/>
      <c r="D26" s="706"/>
      <c r="E26" s="1632" t="s">
        <v>1777</v>
      </c>
      <c r="F26" s="1633"/>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2" t="s">
        <v>1776</v>
      </c>
      <c r="F28" s="1633"/>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71">
        <v>1</v>
      </c>
      <c r="F30" s="1472"/>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71">
        <v>0</v>
      </c>
      <c r="F31" s="1472"/>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71">
        <v>0</v>
      </c>
      <c r="F32" s="1472"/>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71">
        <v>0</v>
      </c>
      <c r="F33" s="1472"/>
      <c r="G33" s="437" t="str">
        <f>G32</f>
        <v>（期間：令和６年１月１日～12月31日）</v>
      </c>
      <c r="H33" s="706"/>
      <c r="J33" s="437" t="str">
        <f>IF(E33="","×","○")</f>
        <v>○</v>
      </c>
      <c r="L33" s="51"/>
      <c r="M33" s="74"/>
      <c r="N33" s="491">
        <v>0</v>
      </c>
      <c r="O33" s="500">
        <v>100</v>
      </c>
    </row>
    <row r="34" spans="1:15" s="437" customFormat="1" ht="16.5" customHeight="1" thickBot="1">
      <c r="A34" s="1617" t="s">
        <v>1059</v>
      </c>
      <c r="B34" s="1617"/>
      <c r="C34" s="1617"/>
      <c r="D34" s="1617"/>
      <c r="E34" s="1617"/>
      <c r="F34" s="1617"/>
      <c r="G34" s="1617"/>
      <c r="H34" s="1617"/>
      <c r="L34" s="51"/>
      <c r="M34" s="74"/>
    </row>
    <row r="35" spans="1:15" s="437" customFormat="1" ht="18" customHeight="1" thickBot="1">
      <c r="A35" s="439" t="s">
        <v>1060</v>
      </c>
      <c r="B35" s="439"/>
      <c r="C35" s="439"/>
      <c r="D35" s="706"/>
      <c r="E35" s="1471">
        <v>2</v>
      </c>
      <c r="F35" s="1472"/>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70" t="s">
        <v>1061</v>
      </c>
      <c r="B37" s="1570"/>
      <c r="C37" s="1570"/>
      <c r="D37" s="1570"/>
      <c r="E37" s="1570"/>
      <c r="F37" s="1570"/>
      <c r="G37" s="1570"/>
      <c r="L37" s="51"/>
      <c r="M37" s="74"/>
    </row>
    <row r="38" spans="1:15" s="437" customFormat="1" ht="13.5" customHeight="1">
      <c r="A38" s="1570" t="s">
        <v>1062</v>
      </c>
      <c r="B38" s="1570"/>
      <c r="C38" s="1570"/>
      <c r="D38" s="1570"/>
      <c r="E38" s="1570"/>
      <c r="F38" s="1570"/>
      <c r="G38" s="1570"/>
      <c r="L38" s="51"/>
      <c r="M38" s="74"/>
    </row>
    <row r="39" spans="1:15" s="437" customFormat="1" ht="13.5" customHeight="1">
      <c r="A39" s="1570" t="s">
        <v>1063</v>
      </c>
      <c r="B39" s="1570"/>
      <c r="C39" s="1570"/>
      <c r="D39" s="1570"/>
      <c r="E39" s="1570"/>
      <c r="F39" s="1570"/>
      <c r="G39" s="1570"/>
      <c r="L39" s="51"/>
      <c r="M39" s="74"/>
    </row>
    <row r="40" spans="1:15" s="437" customFormat="1" ht="13.5" customHeight="1">
      <c r="A40" s="1570" t="s">
        <v>1064</v>
      </c>
      <c r="B40" s="1570"/>
      <c r="C40" s="1570"/>
      <c r="D40" s="1570"/>
      <c r="E40" s="1570"/>
      <c r="F40" s="1570"/>
      <c r="G40" s="1570"/>
      <c r="L40" s="51"/>
      <c r="M40" s="74"/>
    </row>
    <row r="41" spans="1:15" ht="18" customHeight="1">
      <c r="A41" s="1544"/>
      <c r="B41" s="1449" t="s">
        <v>1065</v>
      </c>
      <c r="C41" s="1449"/>
      <c r="D41" s="1542" t="s">
        <v>1066</v>
      </c>
      <c r="E41" s="1310"/>
      <c r="F41" s="1310"/>
      <c r="G41" s="1311"/>
      <c r="H41" s="1621" t="s">
        <v>1067</v>
      </c>
      <c r="M41" s="74"/>
    </row>
    <row r="42" spans="1:15" ht="27.95" customHeight="1">
      <c r="A42" s="1544"/>
      <c r="B42" s="709" t="s">
        <v>1068</v>
      </c>
      <c r="C42" s="710" t="s">
        <v>1069</v>
      </c>
      <c r="D42" s="1543"/>
      <c r="E42" s="1619"/>
      <c r="F42" s="1619"/>
      <c r="G42" s="1620"/>
      <c r="H42" s="1621"/>
      <c r="M42" s="74"/>
    </row>
    <row r="43" spans="1:15" ht="18" customHeight="1">
      <c r="A43" s="711" t="s">
        <v>1015</v>
      </c>
      <c r="B43" s="712" t="s">
        <v>1070</v>
      </c>
      <c r="C43" s="713" t="s">
        <v>1071</v>
      </c>
      <c r="D43" s="1622" t="s">
        <v>1072</v>
      </c>
      <c r="E43" s="1623"/>
      <c r="F43" s="1623"/>
      <c r="G43" s="1624"/>
      <c r="H43" s="711" t="s">
        <v>1073</v>
      </c>
      <c r="M43" s="74"/>
    </row>
    <row r="44" spans="1:15" ht="27.95" customHeight="1">
      <c r="A44" s="711" t="s">
        <v>1015</v>
      </c>
      <c r="B44" s="712" t="s">
        <v>1070</v>
      </c>
      <c r="C44" s="713" t="s">
        <v>472</v>
      </c>
      <c r="D44" s="1622" t="s">
        <v>1074</v>
      </c>
      <c r="E44" s="1623"/>
      <c r="F44" s="1623"/>
      <c r="G44" s="1624"/>
      <c r="H44" s="711" t="s">
        <v>1073</v>
      </c>
      <c r="M44" s="74"/>
    </row>
    <row r="45" spans="1:15" ht="27.95" customHeight="1" thickBot="1">
      <c r="A45" s="711" t="s">
        <v>1015</v>
      </c>
      <c r="B45" s="714" t="s">
        <v>1070</v>
      </c>
      <c r="C45" s="715" t="s">
        <v>1075</v>
      </c>
      <c r="D45" s="1625" t="s">
        <v>1076</v>
      </c>
      <c r="E45" s="1626"/>
      <c r="F45" s="1626"/>
      <c r="G45" s="1627"/>
      <c r="H45" s="716" t="s">
        <v>1077</v>
      </c>
      <c r="M45" s="74"/>
    </row>
    <row r="46" spans="1:15" ht="31.5" customHeight="1" thickBot="1">
      <c r="A46" s="401">
        <v>1</v>
      </c>
      <c r="B46" s="48" t="s">
        <v>1859</v>
      </c>
      <c r="C46" s="48" t="s">
        <v>1075</v>
      </c>
      <c r="D46" s="1267" t="s">
        <v>1860</v>
      </c>
      <c r="E46" s="1345"/>
      <c r="F46" s="1345"/>
      <c r="G46" s="1268"/>
      <c r="H46" s="36" t="s">
        <v>1774</v>
      </c>
      <c r="J46" s="437" t="str">
        <f>IF(AND(E35&gt;0,OR(B46="",C46="",D46="",H46="")),"×","〇")</f>
        <v>〇</v>
      </c>
      <c r="M46" s="74"/>
    </row>
    <row r="47" spans="1:15" ht="31.5" customHeight="1" thickBot="1">
      <c r="A47" s="401">
        <v>2</v>
      </c>
      <c r="B47" s="48" t="s">
        <v>1861</v>
      </c>
      <c r="C47" s="48" t="s">
        <v>1862</v>
      </c>
      <c r="D47" s="1267" t="s">
        <v>1863</v>
      </c>
      <c r="E47" s="1345"/>
      <c r="F47" s="1345"/>
      <c r="G47" s="1268"/>
      <c r="H47" s="36" t="s">
        <v>1774</v>
      </c>
      <c r="J47" s="621"/>
      <c r="M47" s="74"/>
    </row>
    <row r="48" spans="1:15" ht="31.5" customHeight="1" thickBot="1">
      <c r="A48" s="401">
        <v>3</v>
      </c>
      <c r="B48" s="48"/>
      <c r="C48" s="48"/>
      <c r="D48" s="1267"/>
      <c r="E48" s="1345"/>
      <c r="F48" s="1345"/>
      <c r="G48" s="1268"/>
      <c r="H48" s="36"/>
      <c r="M48" s="74"/>
    </row>
    <row r="49" spans="1:13" ht="31.5" customHeight="1" thickBot="1">
      <c r="A49" s="401">
        <v>4</v>
      </c>
      <c r="B49" s="48"/>
      <c r="C49" s="48"/>
      <c r="D49" s="1267"/>
      <c r="E49" s="1345"/>
      <c r="F49" s="1345"/>
      <c r="G49" s="1268"/>
      <c r="H49" s="36"/>
      <c r="M49" s="74"/>
    </row>
    <row r="50" spans="1:13" ht="31.5" customHeight="1" thickBot="1">
      <c r="A50" s="401">
        <v>5</v>
      </c>
      <c r="B50" s="48"/>
      <c r="C50" s="48"/>
      <c r="D50" s="1267"/>
      <c r="E50" s="1345"/>
      <c r="F50" s="1345"/>
      <c r="G50" s="1268"/>
      <c r="H50" s="36"/>
      <c r="M50" s="74"/>
    </row>
    <row r="51" spans="1:13" ht="31.5" customHeight="1" thickBot="1">
      <c r="A51" s="401">
        <v>6</v>
      </c>
      <c r="B51" s="48"/>
      <c r="C51" s="48"/>
      <c r="D51" s="1267"/>
      <c r="E51" s="1345"/>
      <c r="F51" s="1345"/>
      <c r="G51" s="1268"/>
      <c r="H51" s="36"/>
      <c r="M51" s="74"/>
    </row>
    <row r="52" spans="1:13" ht="31.5" customHeight="1" thickBot="1">
      <c r="A52" s="401">
        <v>7</v>
      </c>
      <c r="B52" s="48"/>
      <c r="C52" s="48"/>
      <c r="D52" s="1267"/>
      <c r="E52" s="1345"/>
      <c r="F52" s="1345"/>
      <c r="G52" s="1268"/>
      <c r="H52" s="36"/>
      <c r="M52" s="74"/>
    </row>
    <row r="53" spans="1:13" ht="31.5" customHeight="1" thickBot="1">
      <c r="A53" s="401">
        <v>8</v>
      </c>
      <c r="B53" s="48"/>
      <c r="C53" s="48"/>
      <c r="D53" s="1267"/>
      <c r="E53" s="1345"/>
      <c r="F53" s="1345"/>
      <c r="G53" s="1268"/>
      <c r="H53" s="36"/>
      <c r="M53" s="74"/>
    </row>
    <row r="54" spans="1:13" ht="31.5" customHeight="1" thickBot="1">
      <c r="A54" s="401">
        <v>9</v>
      </c>
      <c r="B54" s="48"/>
      <c r="C54" s="48"/>
      <c r="D54" s="1267"/>
      <c r="E54" s="1345"/>
      <c r="F54" s="1345"/>
      <c r="G54" s="1268"/>
      <c r="H54" s="36"/>
      <c r="M54" s="74"/>
    </row>
    <row r="55" spans="1:13" ht="31.5" customHeight="1" thickBot="1">
      <c r="A55" s="401">
        <v>10</v>
      </c>
      <c r="B55" s="48"/>
      <c r="C55" s="48"/>
      <c r="D55" s="1267"/>
      <c r="E55" s="1345"/>
      <c r="F55" s="1345"/>
      <c r="G55" s="1268"/>
      <c r="H55" s="36"/>
      <c r="M55" s="74"/>
    </row>
    <row r="56" spans="1:13" ht="31.5" customHeight="1" thickBot="1">
      <c r="A56" s="401">
        <v>11</v>
      </c>
      <c r="B56" s="48"/>
      <c r="C56" s="48"/>
      <c r="D56" s="1267"/>
      <c r="E56" s="1345"/>
      <c r="F56" s="1345"/>
      <c r="G56" s="1268"/>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8" t="s">
        <v>1761</v>
      </c>
      <c r="F2" s="1209"/>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11" t="str">
        <f>'様式4（全般事項）'!G5</f>
        <v>大阪府がん診療拠点病院</v>
      </c>
      <c r="F4" s="1212"/>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0" t="s">
        <v>159</v>
      </c>
      <c r="F12" s="1210"/>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3"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4"/>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4"/>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4"/>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4"/>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4"/>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4"/>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4"/>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4"/>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4"/>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4"/>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4"/>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4"/>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4"/>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4"/>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4"/>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4"/>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4"/>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4"/>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4"/>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40" zoomScaleNormal="100" zoomScaleSheetLayoutView="100" workbookViewId="0">
      <selection activeCell="W38" sqref="W38"/>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4" t="s">
        <v>1078</v>
      </c>
      <c r="B1" s="1484"/>
      <c r="C1" s="1484"/>
      <c r="D1" s="1484"/>
      <c r="E1" s="1484"/>
      <c r="F1" s="1484"/>
      <c r="G1" s="1484"/>
      <c r="H1" s="1484"/>
      <c r="I1" s="1484"/>
      <c r="J1" s="1484"/>
      <c r="K1" s="1484"/>
      <c r="L1" s="1484"/>
      <c r="M1" s="1484"/>
      <c r="N1" s="1484"/>
      <c r="O1" s="1484"/>
      <c r="P1" s="1484"/>
      <c r="Q1" s="1484"/>
      <c r="R1" s="1484"/>
      <c r="S1" s="1484"/>
      <c r="T1" s="1484"/>
      <c r="U1" s="1484"/>
      <c r="V1" s="1484"/>
      <c r="W1" s="1484"/>
      <c r="Y1" s="53"/>
      <c r="Z1" s="53"/>
    </row>
    <row r="2" spans="1:30" ht="24.95" customHeight="1" thickBot="1">
      <c r="A2" s="1383" t="s">
        <v>832</v>
      </c>
      <c r="B2" s="1383"/>
      <c r="C2" s="1383"/>
      <c r="D2" s="1383"/>
      <c r="E2" s="1383"/>
      <c r="F2" s="1383"/>
      <c r="G2" s="1383"/>
      <c r="H2" s="1383"/>
      <c r="I2" s="1383"/>
      <c r="J2" s="1383"/>
      <c r="K2" s="1383"/>
      <c r="L2" s="1383"/>
      <c r="M2" s="1383"/>
      <c r="N2" s="1383"/>
      <c r="O2" s="1383"/>
      <c r="P2" s="1383"/>
      <c r="Q2" s="1383"/>
      <c r="R2" s="1383"/>
      <c r="S2" s="1383"/>
      <c r="T2" s="1383"/>
      <c r="U2" s="1383"/>
      <c r="V2" s="1383"/>
      <c r="W2" s="717" t="str">
        <f>IF(COUNTIF(Y15:Y43,"×")&gt;=1,"未入力あり","入力済")</f>
        <v>入力済</v>
      </c>
      <c r="X2" s="1618"/>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8"/>
      <c r="Y3" s="8"/>
      <c r="Z3" s="8"/>
    </row>
    <row r="4" spans="1:30" ht="20.25" customHeight="1">
      <c r="A4" s="433"/>
      <c r="B4" s="433"/>
      <c r="C4" s="433"/>
      <c r="D4" s="433"/>
      <c r="E4" s="719" t="s">
        <v>924</v>
      </c>
      <c r="F4" s="1656" t="str">
        <f>表紙!E2</f>
        <v>医療法人徳洲会　松原徳洲会病院</v>
      </c>
      <c r="G4" s="1657"/>
      <c r="H4" s="1657"/>
      <c r="I4" s="1657"/>
      <c r="J4" s="1657"/>
      <c r="K4" s="1657"/>
      <c r="L4" s="1657"/>
      <c r="M4" s="1657"/>
      <c r="N4" s="1657"/>
      <c r="O4" s="1657"/>
      <c r="P4" s="1657"/>
      <c r="Q4" s="1657"/>
      <c r="R4" s="1657"/>
      <c r="S4" s="1657"/>
      <c r="T4" s="1657"/>
      <c r="U4" s="1657"/>
      <c r="V4" s="1657"/>
      <c r="W4" s="1658"/>
      <c r="X4" s="1618"/>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8"/>
      <c r="Y5" s="439"/>
      <c r="Z5" s="439"/>
      <c r="AA5" s="139" t="s">
        <v>204</v>
      </c>
    </row>
    <row r="6" spans="1:30" s="687" customFormat="1" ht="42" customHeight="1">
      <c r="A6" s="720"/>
      <c r="B6" s="1654" t="s">
        <v>1079</v>
      </c>
      <c r="C6" s="1655"/>
      <c r="D6" s="1655"/>
      <c r="E6" s="1655"/>
      <c r="F6" s="1655"/>
      <c r="G6" s="1655"/>
      <c r="H6" s="1655"/>
      <c r="I6" s="1655"/>
      <c r="J6" s="1655"/>
      <c r="K6" s="1655"/>
      <c r="L6" s="1655"/>
      <c r="M6" s="1655"/>
      <c r="N6" s="1655"/>
      <c r="O6" s="1655"/>
      <c r="P6" s="1655"/>
      <c r="Q6" s="1655"/>
      <c r="R6" s="1655"/>
      <c r="S6" s="1655"/>
      <c r="T6" s="1655"/>
      <c r="U6" s="1655"/>
      <c r="V6" s="1655"/>
      <c r="W6" s="1655"/>
      <c r="AA6" s="74"/>
      <c r="AC6" s="720"/>
      <c r="AD6" s="721"/>
    </row>
    <row r="7" spans="1:30" s="687" customFormat="1" ht="20.100000000000001" customHeight="1">
      <c r="A7" s="720"/>
      <c r="B7" s="722" t="s">
        <v>1080</v>
      </c>
      <c r="C7" s="723" t="s">
        <v>1081</v>
      </c>
      <c r="D7" s="723" t="s">
        <v>1082</v>
      </c>
      <c r="E7" s="1652" t="s">
        <v>1083</v>
      </c>
      <c r="F7" s="1652"/>
      <c r="G7" s="1652"/>
      <c r="H7" s="1652"/>
      <c r="I7" s="1652"/>
      <c r="J7" s="1652"/>
      <c r="K7" s="1652"/>
      <c r="L7" s="1652"/>
      <c r="M7" s="1652"/>
      <c r="N7" s="1652" t="s">
        <v>1084</v>
      </c>
      <c r="O7" s="1652"/>
      <c r="P7" s="1652"/>
      <c r="Q7" s="1652"/>
      <c r="R7" s="1652"/>
      <c r="S7" s="1652"/>
      <c r="T7" s="1652"/>
      <c r="U7" s="1652"/>
      <c r="V7" s="1652"/>
      <c r="W7" s="724"/>
      <c r="X7" s="724"/>
      <c r="Y7" s="724"/>
      <c r="Z7" s="724"/>
      <c r="AA7" s="74"/>
      <c r="AB7" s="724"/>
      <c r="AC7" s="724"/>
      <c r="AD7" s="721"/>
    </row>
    <row r="8" spans="1:30" s="687" customFormat="1" ht="99.95" customHeight="1">
      <c r="A8" s="720"/>
      <c r="B8" s="725" t="s">
        <v>1085</v>
      </c>
      <c r="C8" s="726" t="s">
        <v>1086</v>
      </c>
      <c r="D8" s="726" t="s">
        <v>1087</v>
      </c>
      <c r="E8" s="1659" t="s">
        <v>1088</v>
      </c>
      <c r="F8" s="1660"/>
      <c r="G8" s="1660"/>
      <c r="H8" s="1660"/>
      <c r="I8" s="1660"/>
      <c r="J8" s="1660"/>
      <c r="K8" s="1660"/>
      <c r="L8" s="1660"/>
      <c r="M8" s="1661"/>
      <c r="N8" s="1639" t="s">
        <v>1089</v>
      </c>
      <c r="O8" s="1639"/>
      <c r="P8" s="1639"/>
      <c r="Q8" s="1639"/>
      <c r="R8" s="1639"/>
      <c r="S8" s="1639"/>
      <c r="T8" s="1639"/>
      <c r="U8" s="1639"/>
      <c r="V8" s="1639"/>
      <c r="W8" s="724"/>
      <c r="X8" s="724"/>
      <c r="Y8" s="724"/>
      <c r="Z8" s="724"/>
      <c r="AA8" s="74"/>
      <c r="AB8" s="724"/>
      <c r="AC8" s="724"/>
      <c r="AD8" s="721"/>
    </row>
    <row r="9" spans="1:30" s="687" customFormat="1" ht="50.1" customHeight="1">
      <c r="A9" s="720"/>
      <c r="B9" s="722" t="s">
        <v>1090</v>
      </c>
      <c r="C9" s="727" t="s">
        <v>1091</v>
      </c>
      <c r="D9" s="722" t="s">
        <v>1092</v>
      </c>
      <c r="E9" s="1652" t="s">
        <v>1093</v>
      </c>
      <c r="F9" s="1652"/>
      <c r="G9" s="1652"/>
      <c r="H9" s="1652"/>
      <c r="I9" s="1652"/>
      <c r="J9" s="1652"/>
      <c r="K9" s="1652"/>
      <c r="L9" s="1652"/>
      <c r="M9" s="1652"/>
      <c r="N9" s="1652" t="s">
        <v>1094</v>
      </c>
      <c r="O9" s="1652"/>
      <c r="P9" s="1652"/>
      <c r="Q9" s="1652"/>
      <c r="R9" s="1652"/>
      <c r="S9" s="1652"/>
      <c r="T9" s="1652"/>
      <c r="U9" s="1652"/>
      <c r="V9" s="1652"/>
      <c r="W9" s="724"/>
      <c r="X9" s="724"/>
      <c r="Y9" s="724"/>
      <c r="Z9" s="724"/>
      <c r="AA9" s="74"/>
      <c r="AB9" s="724"/>
      <c r="AC9" s="724"/>
      <c r="AD9" s="721"/>
    </row>
    <row r="10" spans="1:30" s="687" customFormat="1" ht="50.1" customHeight="1">
      <c r="A10" s="720"/>
      <c r="B10" s="1639" t="s">
        <v>1095</v>
      </c>
      <c r="C10" s="1636" t="s">
        <v>1096</v>
      </c>
      <c r="D10" s="1636" t="s">
        <v>1097</v>
      </c>
      <c r="E10" s="1639" t="s">
        <v>1098</v>
      </c>
      <c r="F10" s="1639"/>
      <c r="G10" s="1639"/>
      <c r="H10" s="1639"/>
      <c r="I10" s="1639"/>
      <c r="J10" s="1639"/>
      <c r="K10" s="1639"/>
      <c r="L10" s="1639"/>
      <c r="M10" s="1641"/>
      <c r="N10" s="1639" t="s">
        <v>1099</v>
      </c>
      <c r="O10" s="1639"/>
      <c r="P10" s="1639"/>
      <c r="Q10" s="1639"/>
      <c r="R10" s="1639"/>
      <c r="S10" s="1639"/>
      <c r="T10" s="1639"/>
      <c r="U10" s="1639"/>
      <c r="V10" s="1639"/>
      <c r="W10" s="724"/>
      <c r="X10" s="724"/>
      <c r="Y10" s="724"/>
      <c r="Z10" s="724"/>
      <c r="AA10" s="74"/>
      <c r="AB10" s="724"/>
      <c r="AC10" s="724"/>
      <c r="AD10" s="721"/>
    </row>
    <row r="11" spans="1:30" s="687" customFormat="1" ht="20.100000000000001" customHeight="1">
      <c r="A11" s="720"/>
      <c r="B11" s="1639"/>
      <c r="C11" s="1637"/>
      <c r="D11" s="1637"/>
      <c r="E11" s="1652" t="s">
        <v>1100</v>
      </c>
      <c r="F11" s="1652"/>
      <c r="G11" s="1652"/>
      <c r="H11" s="1652"/>
      <c r="I11" s="1652"/>
      <c r="J11" s="1652"/>
      <c r="K11" s="1652"/>
      <c r="L11" s="1652"/>
      <c r="M11" s="1652"/>
      <c r="N11" s="1639"/>
      <c r="O11" s="1639"/>
      <c r="P11" s="1639"/>
      <c r="Q11" s="1639"/>
      <c r="R11" s="1639"/>
      <c r="S11" s="1639"/>
      <c r="T11" s="1639"/>
      <c r="U11" s="1639"/>
      <c r="V11" s="1639"/>
      <c r="W11" s="724"/>
      <c r="X11" s="724"/>
      <c r="Y11" s="724"/>
      <c r="Z11" s="724"/>
      <c r="AA11" s="74"/>
      <c r="AB11" s="724"/>
      <c r="AC11" s="724"/>
      <c r="AD11" s="721"/>
    </row>
    <row r="12" spans="1:30" s="687" customFormat="1" ht="50.1" customHeight="1">
      <c r="A12" s="720"/>
      <c r="B12" s="1639"/>
      <c r="C12" s="1638"/>
      <c r="D12" s="1638"/>
      <c r="E12" s="1641" t="s">
        <v>1101</v>
      </c>
      <c r="F12" s="1641"/>
      <c r="G12" s="1641"/>
      <c r="H12" s="1641"/>
      <c r="I12" s="1641"/>
      <c r="J12" s="1641"/>
      <c r="K12" s="1641"/>
      <c r="L12" s="1641"/>
      <c r="M12" s="1641"/>
      <c r="N12" s="1639"/>
      <c r="O12" s="1639"/>
      <c r="P12" s="1639"/>
      <c r="Q12" s="1639"/>
      <c r="R12" s="1639"/>
      <c r="S12" s="1639"/>
      <c r="T12" s="1639"/>
      <c r="U12" s="1639"/>
      <c r="V12" s="1639"/>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40" t="s">
        <v>1103</v>
      </c>
      <c r="C14" s="1640"/>
      <c r="D14" s="1640"/>
      <c r="E14" s="1640"/>
      <c r="F14" s="1640"/>
      <c r="G14" s="1640"/>
      <c r="H14" s="1640"/>
      <c r="I14" s="1640"/>
      <c r="J14" s="1640"/>
      <c r="K14" s="1640"/>
      <c r="L14" s="1640"/>
      <c r="M14" s="1640"/>
      <c r="N14" s="1640"/>
      <c r="O14" s="1640"/>
      <c r="P14" s="1640"/>
      <c r="Q14" s="1640"/>
      <c r="R14" s="1640"/>
      <c r="S14" s="1640"/>
      <c r="T14" s="1640"/>
      <c r="U14" s="1640"/>
      <c r="V14" s="1640"/>
      <c r="W14" s="1640"/>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1777</v>
      </c>
      <c r="Y15" s="437" t="str">
        <f>IF(W15="","×","○")</f>
        <v>○</v>
      </c>
      <c r="AA15" s="74"/>
    </row>
    <row r="16" spans="1:30" ht="25.5" customHeight="1" thickBot="1">
      <c r="A16" s="733">
        <v>2</v>
      </c>
      <c r="B16" s="1387" t="s">
        <v>1105</v>
      </c>
      <c r="C16" s="1388"/>
      <c r="D16" s="1415" t="s">
        <v>1864</v>
      </c>
      <c r="E16" s="1416"/>
      <c r="F16" s="1416"/>
      <c r="G16" s="1416"/>
      <c r="H16" s="1416"/>
      <c r="I16" s="1416"/>
      <c r="J16" s="1416"/>
      <c r="K16" s="1416"/>
      <c r="L16" s="1416"/>
      <c r="M16" s="1416"/>
      <c r="N16" s="1416"/>
      <c r="O16" s="1416"/>
      <c r="P16" s="1416"/>
      <c r="Q16" s="1416"/>
      <c r="R16" s="1416"/>
      <c r="S16" s="1416"/>
      <c r="T16" s="1416"/>
      <c r="U16" s="1416"/>
      <c r="V16" s="1416"/>
      <c r="W16" s="1420"/>
      <c r="Y16" s="439" t="str">
        <f>IF(AND($W$15="はい",D16=""),"×","○")</f>
        <v>○</v>
      </c>
      <c r="Z16" s="439"/>
      <c r="AA16" s="74"/>
    </row>
    <row r="17" spans="1:27" ht="25.5" customHeight="1" thickBot="1">
      <c r="A17" s="733">
        <v>3</v>
      </c>
      <c r="B17" s="1377" t="s">
        <v>1106</v>
      </c>
      <c r="C17" s="1671"/>
      <c r="D17" s="1672"/>
      <c r="E17" s="1672"/>
      <c r="F17" s="1672"/>
      <c r="G17" s="1672"/>
      <c r="H17" s="1672"/>
      <c r="I17" s="1672"/>
      <c r="J17" s="1672"/>
      <c r="K17" s="1672"/>
      <c r="L17" s="1672"/>
      <c r="M17" s="1672"/>
      <c r="N17" s="1475" t="s">
        <v>1865</v>
      </c>
      <c r="O17" s="1476"/>
      <c r="P17" s="1476"/>
      <c r="Q17" s="1476"/>
      <c r="R17" s="1476"/>
      <c r="S17" s="1476"/>
      <c r="T17" s="1476"/>
      <c r="U17" s="1476"/>
      <c r="V17" s="1642"/>
      <c r="W17" s="1643"/>
      <c r="Y17" s="439" t="str">
        <f>IF(AND($W$15="はい",N17=""),"×","○")</f>
        <v>○</v>
      </c>
      <c r="Z17" s="439"/>
      <c r="AA17" s="74"/>
    </row>
    <row r="18" spans="1:27" ht="50.1" customHeight="1" thickBot="1">
      <c r="A18" s="733">
        <v>4</v>
      </c>
      <c r="B18" s="1387" t="s">
        <v>1107</v>
      </c>
      <c r="C18" s="1388"/>
      <c r="D18" s="1267" t="s">
        <v>1866</v>
      </c>
      <c r="E18" s="1345"/>
      <c r="F18" s="1345"/>
      <c r="G18" s="1345"/>
      <c r="H18" s="1345"/>
      <c r="I18" s="1345"/>
      <c r="J18" s="1345"/>
      <c r="K18" s="1345"/>
      <c r="L18" s="1345"/>
      <c r="M18" s="1345"/>
      <c r="N18" s="1345"/>
      <c r="O18" s="1345"/>
      <c r="P18" s="1345"/>
      <c r="Q18" s="1345"/>
      <c r="R18" s="1345"/>
      <c r="S18" s="1345"/>
      <c r="T18" s="1345"/>
      <c r="U18" s="1345"/>
      <c r="V18" s="1345"/>
      <c r="W18" s="1268"/>
      <c r="Y18" s="439" t="str">
        <f>IF(AND($W$15="はい",D18=""),"×","○")</f>
        <v>○</v>
      </c>
      <c r="Z18" s="439"/>
      <c r="AA18" s="74"/>
    </row>
    <row r="19" spans="1:27" ht="25.5" customHeight="1" thickBot="1">
      <c r="A19" s="734">
        <v>5</v>
      </c>
      <c r="B19" s="1653" t="s">
        <v>1108</v>
      </c>
      <c r="C19" s="1648"/>
      <c r="D19" s="1649"/>
      <c r="E19" s="1649"/>
      <c r="F19" s="1649"/>
      <c r="G19" s="1649"/>
      <c r="H19" s="1649"/>
      <c r="I19" s="1649"/>
      <c r="J19" s="1649"/>
      <c r="K19" s="1649"/>
      <c r="L19" s="1649"/>
      <c r="M19" s="1649"/>
      <c r="N19" s="1649"/>
      <c r="O19" s="1649"/>
      <c r="P19" s="1649"/>
      <c r="Q19" s="1649"/>
      <c r="R19" s="1649"/>
      <c r="S19" s="1649"/>
      <c r="T19" s="1649"/>
      <c r="U19" s="1649"/>
      <c r="V19" s="1649"/>
      <c r="W19" s="36" t="s">
        <v>1776</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3" t="s">
        <v>1111</v>
      </c>
      <c r="C22" s="1674"/>
      <c r="D22" s="36" t="s">
        <v>1776</v>
      </c>
      <c r="E22" s="737" t="s">
        <v>1112</v>
      </c>
      <c r="F22" s="737"/>
      <c r="G22" s="737"/>
      <c r="H22" s="737"/>
      <c r="I22" s="737"/>
      <c r="J22" s="738"/>
      <c r="K22" s="1676" t="s">
        <v>1113</v>
      </c>
      <c r="L22" s="1676"/>
      <c r="M22" s="1676"/>
      <c r="N22" s="1676"/>
      <c r="O22" s="1676"/>
      <c r="P22" s="1676"/>
      <c r="Q22" s="1676"/>
      <c r="R22" s="1676"/>
      <c r="S22" s="1676"/>
      <c r="T22" s="1676"/>
      <c r="U22" s="1676"/>
      <c r="V22" s="1676"/>
      <c r="W22" s="1677"/>
      <c r="Y22" s="437" t="str">
        <f>IF(D22="","×","○")</f>
        <v>○</v>
      </c>
      <c r="AA22" s="74"/>
    </row>
    <row r="23" spans="1:27" ht="28.5" customHeight="1" thickBot="1">
      <c r="A23" s="733">
        <v>2</v>
      </c>
      <c r="B23" s="1381" t="s">
        <v>1114</v>
      </c>
      <c r="C23" s="1675"/>
      <c r="D23" s="37" t="s">
        <v>1776</v>
      </c>
      <c r="E23" s="462" t="s">
        <v>1112</v>
      </c>
      <c r="F23" s="462"/>
      <c r="G23" s="462"/>
      <c r="H23" s="462"/>
      <c r="I23" s="462"/>
      <c r="J23" s="739"/>
      <c r="K23" s="1678"/>
      <c r="L23" s="1678"/>
      <c r="M23" s="1678"/>
      <c r="N23" s="1678"/>
      <c r="O23" s="1678"/>
      <c r="P23" s="1678"/>
      <c r="Q23" s="1678"/>
      <c r="R23" s="1678"/>
      <c r="S23" s="1678"/>
      <c r="T23" s="1678"/>
      <c r="U23" s="1678"/>
      <c r="V23" s="1678"/>
      <c r="W23" s="1679"/>
      <c r="Y23" s="439" t="str">
        <f>IF(AND($D$22="はい",D23=""),"×","○")</f>
        <v>○</v>
      </c>
      <c r="Z23" s="439"/>
      <c r="AA23" s="74"/>
    </row>
    <row r="24" spans="1:27" ht="25.5" customHeight="1" thickBot="1">
      <c r="A24" s="733">
        <v>3</v>
      </c>
      <c r="B24" s="1387" t="s">
        <v>1105</v>
      </c>
      <c r="C24" s="1388"/>
      <c r="D24" s="1415"/>
      <c r="E24" s="1416"/>
      <c r="F24" s="1416"/>
      <c r="G24" s="1416"/>
      <c r="H24" s="1416"/>
      <c r="I24" s="1416"/>
      <c r="J24" s="1416"/>
      <c r="K24" s="1416"/>
      <c r="L24" s="1416"/>
      <c r="M24" s="1416"/>
      <c r="N24" s="1416"/>
      <c r="O24" s="1416"/>
      <c r="P24" s="1416"/>
      <c r="Q24" s="1416"/>
      <c r="R24" s="1416"/>
      <c r="S24" s="1416"/>
      <c r="T24" s="1416"/>
      <c r="U24" s="1416"/>
      <c r="V24" s="1416"/>
      <c r="W24" s="1420"/>
      <c r="Y24" s="439" t="str">
        <f>IF(AND($D$22="はい",D24=""),"×","○")</f>
        <v>○</v>
      </c>
      <c r="Z24" s="439"/>
      <c r="AA24" s="74"/>
    </row>
    <row r="25" spans="1:27" ht="25.5" customHeight="1" thickBot="1">
      <c r="A25" s="733">
        <v>4</v>
      </c>
      <c r="B25" s="1387" t="s">
        <v>1115</v>
      </c>
      <c r="C25" s="1388"/>
      <c r="D25" s="1267"/>
      <c r="E25" s="1345"/>
      <c r="F25" s="1345"/>
      <c r="G25" s="1345"/>
      <c r="H25" s="1345"/>
      <c r="I25" s="1345"/>
      <c r="J25" s="1345"/>
      <c r="K25" s="1345"/>
      <c r="L25" s="1345"/>
      <c r="M25" s="1345"/>
      <c r="N25" s="1345"/>
      <c r="O25" s="1345"/>
      <c r="P25" s="1345"/>
      <c r="Q25" s="1345"/>
      <c r="R25" s="1345"/>
      <c r="S25" s="1345"/>
      <c r="T25" s="1345"/>
      <c r="U25" s="1345"/>
      <c r="V25" s="1345"/>
      <c r="W25" s="1268"/>
      <c r="Y25" s="439" t="str">
        <f>IF(AND($D$22="はい",D25=""),"×","○")</f>
        <v>○</v>
      </c>
      <c r="Z25" s="439"/>
      <c r="AA25" s="74"/>
    </row>
    <row r="26" spans="1:27" ht="25.5" customHeight="1" thickBot="1">
      <c r="A26" s="733">
        <v>5</v>
      </c>
      <c r="B26" s="1381" t="s">
        <v>1116</v>
      </c>
      <c r="C26" s="1382"/>
      <c r="D26" s="1267"/>
      <c r="E26" s="1345"/>
      <c r="F26" s="1345"/>
      <c r="G26" s="1345"/>
      <c r="H26" s="1345"/>
      <c r="I26" s="1345"/>
      <c r="J26" s="1345"/>
      <c r="K26" s="1345"/>
      <c r="L26" s="1345"/>
      <c r="M26" s="1345"/>
      <c r="N26" s="1345"/>
      <c r="O26" s="1345"/>
      <c r="P26" s="1345"/>
      <c r="Q26" s="1345"/>
      <c r="R26" s="1345"/>
      <c r="S26" s="1345"/>
      <c r="T26" s="1345"/>
      <c r="U26" s="1345"/>
      <c r="V26" s="1345"/>
      <c r="W26" s="1268"/>
      <c r="Y26" s="439" t="str">
        <f>IF(AND($D$22="はい",D26=""),"×","○")</f>
        <v>○</v>
      </c>
      <c r="Z26" s="439"/>
      <c r="AA26" s="74"/>
    </row>
    <row r="27" spans="1:27" ht="42.6" customHeight="1" thickBot="1">
      <c r="A27" s="733">
        <v>6</v>
      </c>
      <c r="B27" s="1650" t="s">
        <v>1117</v>
      </c>
      <c r="C27" s="1651"/>
      <c r="D27" s="38" t="s">
        <v>1867</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7" t="s">
        <v>1119</v>
      </c>
      <c r="C28" s="1648"/>
      <c r="D28" s="1649"/>
      <c r="E28" s="1649"/>
      <c r="F28" s="1649"/>
      <c r="G28" s="1649"/>
      <c r="H28" s="1649"/>
      <c r="I28" s="1649"/>
      <c r="J28" s="1649"/>
      <c r="K28" s="1649"/>
      <c r="L28" s="1649"/>
      <c r="M28" s="1649"/>
      <c r="N28" s="1649"/>
      <c r="O28" s="1649"/>
      <c r="P28" s="1649"/>
      <c r="Q28" s="1649"/>
      <c r="R28" s="1649"/>
      <c r="S28" s="1649"/>
      <c r="T28" s="1649"/>
      <c r="U28" s="1649"/>
      <c r="V28" s="1649"/>
      <c r="W28" s="36" t="s">
        <v>1776</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4" t="s">
        <v>1122</v>
      </c>
      <c r="C31" s="1645"/>
      <c r="D31" s="1646"/>
      <c r="E31" s="1646"/>
      <c r="F31" s="1646"/>
      <c r="G31" s="1646"/>
      <c r="H31" s="1646"/>
      <c r="I31" s="1646"/>
      <c r="J31" s="1646"/>
      <c r="K31" s="1646"/>
      <c r="L31" s="1646"/>
      <c r="M31" s="1646"/>
      <c r="N31" s="1646"/>
      <c r="O31" s="1646"/>
      <c r="P31" s="1646"/>
      <c r="Q31" s="1646"/>
      <c r="R31" s="1646"/>
      <c r="S31" s="1646"/>
      <c r="T31" s="1646"/>
      <c r="U31" s="1646"/>
      <c r="V31" s="1646"/>
      <c r="W31" s="36" t="s">
        <v>1776</v>
      </c>
      <c r="Y31" s="437" t="str">
        <f>IF(W31="","×","○")</f>
        <v>○</v>
      </c>
      <c r="AA31" s="74"/>
    </row>
    <row r="32" spans="1:27" ht="24" customHeight="1" thickBot="1">
      <c r="A32" s="733">
        <v>2</v>
      </c>
      <c r="B32" s="1387" t="s">
        <v>1105</v>
      </c>
      <c r="C32" s="1388"/>
      <c r="D32" s="1415"/>
      <c r="E32" s="1416"/>
      <c r="F32" s="1416"/>
      <c r="G32" s="1416"/>
      <c r="H32" s="1416"/>
      <c r="I32" s="1416"/>
      <c r="J32" s="1416"/>
      <c r="K32" s="1416"/>
      <c r="L32" s="1416"/>
      <c r="M32" s="1416"/>
      <c r="N32" s="1416"/>
      <c r="O32" s="1416"/>
      <c r="P32" s="1416"/>
      <c r="Q32" s="1416"/>
      <c r="R32" s="1416"/>
      <c r="S32" s="1416"/>
      <c r="T32" s="1416"/>
      <c r="U32" s="1416"/>
      <c r="V32" s="1416"/>
      <c r="W32" s="1420"/>
      <c r="Y32" s="439" t="str">
        <f>IF(AND($W$31="はい",D32=""),"×","○")</f>
        <v>○</v>
      </c>
      <c r="Z32" s="439"/>
      <c r="AA32" s="74"/>
    </row>
    <row r="33" spans="1:27" ht="25.5" customHeight="1" thickBot="1">
      <c r="A33" s="734">
        <v>3</v>
      </c>
      <c r="B33" s="1647" t="s">
        <v>1119</v>
      </c>
      <c r="C33" s="1648"/>
      <c r="D33" s="1649"/>
      <c r="E33" s="1649"/>
      <c r="F33" s="1649"/>
      <c r="G33" s="1649"/>
      <c r="H33" s="1649"/>
      <c r="I33" s="1649"/>
      <c r="J33" s="1649"/>
      <c r="K33" s="1649"/>
      <c r="L33" s="1649"/>
      <c r="M33" s="1649"/>
      <c r="N33" s="1649"/>
      <c r="O33" s="1649"/>
      <c r="P33" s="1649"/>
      <c r="Q33" s="1649"/>
      <c r="R33" s="1649"/>
      <c r="S33" s="1649"/>
      <c r="T33" s="1649"/>
      <c r="U33" s="1649"/>
      <c r="V33" s="1649"/>
      <c r="W33" s="36" t="s">
        <v>1776</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4" t="s">
        <v>1125</v>
      </c>
      <c r="C36" s="1645"/>
      <c r="D36" s="1646"/>
      <c r="E36" s="1646"/>
      <c r="F36" s="1646"/>
      <c r="G36" s="1646"/>
      <c r="H36" s="1646"/>
      <c r="I36" s="1646"/>
      <c r="J36" s="1646"/>
      <c r="K36" s="1646"/>
      <c r="L36" s="1646"/>
      <c r="M36" s="1646"/>
      <c r="N36" s="1646"/>
      <c r="O36" s="1646"/>
      <c r="P36" s="1646"/>
      <c r="Q36" s="1646"/>
      <c r="R36" s="1646"/>
      <c r="S36" s="1646"/>
      <c r="T36" s="1646"/>
      <c r="U36" s="1646"/>
      <c r="V36" s="1646"/>
      <c r="W36" s="36" t="s">
        <v>1776</v>
      </c>
      <c r="Y36" s="437" t="str">
        <f>IF(W36="","×","○")</f>
        <v>○</v>
      </c>
      <c r="AA36" s="74"/>
    </row>
    <row r="37" spans="1:27" ht="25.5" customHeight="1" thickBot="1">
      <c r="A37" s="733">
        <v>2</v>
      </c>
      <c r="B37" s="1387" t="s">
        <v>1105</v>
      </c>
      <c r="C37" s="1388"/>
      <c r="D37" s="1415"/>
      <c r="E37" s="1416"/>
      <c r="F37" s="1416"/>
      <c r="G37" s="1416"/>
      <c r="H37" s="1416"/>
      <c r="I37" s="1416"/>
      <c r="J37" s="1416"/>
      <c r="K37" s="1416"/>
      <c r="L37" s="1416"/>
      <c r="M37" s="1416"/>
      <c r="N37" s="1416"/>
      <c r="O37" s="1416"/>
      <c r="P37" s="1416"/>
      <c r="Q37" s="1416"/>
      <c r="R37" s="1416"/>
      <c r="S37" s="1416"/>
      <c r="T37" s="1416"/>
      <c r="U37" s="1416"/>
      <c r="V37" s="1416"/>
      <c r="W37" s="1420"/>
      <c r="Y37" s="439" t="str">
        <f>IF(AND($W$36="はい",D37=""),"×","○")</f>
        <v>○</v>
      </c>
      <c r="Z37" s="439"/>
      <c r="AA37" s="74"/>
    </row>
    <row r="38" spans="1:27" ht="20.25" customHeight="1" thickBot="1">
      <c r="A38" s="734">
        <v>3</v>
      </c>
      <c r="B38" s="1647" t="s">
        <v>1119</v>
      </c>
      <c r="C38" s="1648"/>
      <c r="D38" s="1649"/>
      <c r="E38" s="1649"/>
      <c r="F38" s="1649"/>
      <c r="G38" s="1649"/>
      <c r="H38" s="1649"/>
      <c r="I38" s="1649"/>
      <c r="J38" s="1649"/>
      <c r="K38" s="1649"/>
      <c r="L38" s="1649"/>
      <c r="M38" s="1649"/>
      <c r="N38" s="1649"/>
      <c r="O38" s="1649"/>
      <c r="P38" s="1649"/>
      <c r="Q38" s="1649"/>
      <c r="R38" s="1649"/>
      <c r="S38" s="1649"/>
      <c r="T38" s="1649"/>
      <c r="U38" s="1649"/>
      <c r="V38" s="1649"/>
      <c r="W38" s="36" t="s">
        <v>1776</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4" t="s">
        <v>1128</v>
      </c>
      <c r="C41" s="1645"/>
      <c r="D41" s="1646"/>
      <c r="E41" s="1646"/>
      <c r="F41" s="1646"/>
      <c r="G41" s="1646"/>
      <c r="H41" s="1646"/>
      <c r="I41" s="1646"/>
      <c r="J41" s="1646"/>
      <c r="K41" s="1646"/>
      <c r="L41" s="1646"/>
      <c r="M41" s="1646"/>
      <c r="N41" s="1646"/>
      <c r="O41" s="1646"/>
      <c r="P41" s="1646"/>
      <c r="Q41" s="1646"/>
      <c r="R41" s="1646"/>
      <c r="S41" s="1646"/>
      <c r="T41" s="1646"/>
      <c r="U41" s="1646"/>
      <c r="V41" s="1646"/>
      <c r="W41" s="36" t="s">
        <v>1776</v>
      </c>
      <c r="Y41" s="437" t="str">
        <f>IF(W41="","×","○")</f>
        <v>○</v>
      </c>
      <c r="AA41" s="74"/>
    </row>
    <row r="42" spans="1:27" ht="25.5" customHeight="1" thickBot="1">
      <c r="A42" s="733">
        <v>2</v>
      </c>
      <c r="B42" s="1381" t="s">
        <v>1105</v>
      </c>
      <c r="C42" s="1382"/>
      <c r="D42" s="1415"/>
      <c r="E42" s="1416"/>
      <c r="F42" s="1416"/>
      <c r="G42" s="1416"/>
      <c r="H42" s="1416"/>
      <c r="I42" s="1416"/>
      <c r="J42" s="1416"/>
      <c r="K42" s="1416"/>
      <c r="L42" s="1416"/>
      <c r="M42" s="1416"/>
      <c r="N42" s="1416"/>
      <c r="O42" s="1416"/>
      <c r="P42" s="1416"/>
      <c r="Q42" s="1416"/>
      <c r="R42" s="1416"/>
      <c r="S42" s="1416"/>
      <c r="T42" s="1416"/>
      <c r="U42" s="1416"/>
      <c r="V42" s="1416"/>
      <c r="W42" s="1420"/>
      <c r="Y42" s="439" t="str">
        <f>IF(AND($W$41="はい",D42=""),"×","○")</f>
        <v>○</v>
      </c>
      <c r="Z42" s="439"/>
      <c r="AA42" s="74"/>
    </row>
    <row r="43" spans="1:27" ht="18" customHeight="1" thickBot="1">
      <c r="A43" s="734">
        <v>3</v>
      </c>
      <c r="B43" s="1647" t="s">
        <v>1119</v>
      </c>
      <c r="C43" s="1648"/>
      <c r="D43" s="1649"/>
      <c r="E43" s="1649"/>
      <c r="F43" s="1649"/>
      <c r="G43" s="1649"/>
      <c r="H43" s="1649"/>
      <c r="I43" s="1649"/>
      <c r="J43" s="1649"/>
      <c r="K43" s="1649"/>
      <c r="L43" s="1649"/>
      <c r="M43" s="1649"/>
      <c r="N43" s="1649"/>
      <c r="O43" s="1649"/>
      <c r="P43" s="1649"/>
      <c r="Q43" s="1649"/>
      <c r="R43" s="1649"/>
      <c r="S43" s="1649"/>
      <c r="T43" s="1649"/>
      <c r="U43" s="1649"/>
      <c r="V43" s="1649"/>
      <c r="W43" s="36" t="s">
        <v>1776</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2" t="s">
        <v>1868</v>
      </c>
      <c r="B47" s="1663"/>
      <c r="C47" s="1663"/>
      <c r="D47" s="1663"/>
      <c r="E47" s="1663"/>
      <c r="F47" s="1663"/>
      <c r="G47" s="1663"/>
      <c r="H47" s="1663"/>
      <c r="I47" s="1663"/>
      <c r="J47" s="1663"/>
      <c r="K47" s="1663"/>
      <c r="L47" s="1663"/>
      <c r="M47" s="1663"/>
      <c r="N47" s="1663"/>
      <c r="O47" s="1663"/>
      <c r="P47" s="1663"/>
      <c r="Q47" s="1663"/>
      <c r="R47" s="1663"/>
      <c r="S47" s="1663"/>
      <c r="T47" s="1663"/>
      <c r="U47" s="1663"/>
      <c r="V47" s="1663"/>
      <c r="W47" s="1664"/>
      <c r="AA47" s="74"/>
    </row>
    <row r="48" spans="1:27">
      <c r="A48" s="1665"/>
      <c r="B48" s="1666"/>
      <c r="C48" s="1666"/>
      <c r="D48" s="1666"/>
      <c r="E48" s="1666"/>
      <c r="F48" s="1666"/>
      <c r="G48" s="1666"/>
      <c r="H48" s="1666"/>
      <c r="I48" s="1666"/>
      <c r="J48" s="1666"/>
      <c r="K48" s="1666"/>
      <c r="L48" s="1666"/>
      <c r="M48" s="1666"/>
      <c r="N48" s="1666"/>
      <c r="O48" s="1666"/>
      <c r="P48" s="1666"/>
      <c r="Q48" s="1666"/>
      <c r="R48" s="1666"/>
      <c r="S48" s="1666"/>
      <c r="T48" s="1666"/>
      <c r="U48" s="1666"/>
      <c r="V48" s="1666"/>
      <c r="W48" s="1667"/>
      <c r="AA48" s="74"/>
    </row>
    <row r="49" spans="1:27">
      <c r="A49" s="1665"/>
      <c r="B49" s="1666"/>
      <c r="C49" s="1666"/>
      <c r="D49" s="1666"/>
      <c r="E49" s="1666"/>
      <c r="F49" s="1666"/>
      <c r="G49" s="1666"/>
      <c r="H49" s="1666"/>
      <c r="I49" s="1666"/>
      <c r="J49" s="1666"/>
      <c r="K49" s="1666"/>
      <c r="L49" s="1666"/>
      <c r="M49" s="1666"/>
      <c r="N49" s="1666"/>
      <c r="O49" s="1666"/>
      <c r="P49" s="1666"/>
      <c r="Q49" s="1666"/>
      <c r="R49" s="1666"/>
      <c r="S49" s="1666"/>
      <c r="T49" s="1666"/>
      <c r="U49" s="1666"/>
      <c r="V49" s="1666"/>
      <c r="W49" s="1667"/>
      <c r="AA49" s="74"/>
    </row>
    <row r="50" spans="1:27">
      <c r="A50" s="1665"/>
      <c r="B50" s="1666"/>
      <c r="C50" s="1666"/>
      <c r="D50" s="1666"/>
      <c r="E50" s="1666"/>
      <c r="F50" s="1666"/>
      <c r="G50" s="1666"/>
      <c r="H50" s="1666"/>
      <c r="I50" s="1666"/>
      <c r="J50" s="1666"/>
      <c r="K50" s="1666"/>
      <c r="L50" s="1666"/>
      <c r="M50" s="1666"/>
      <c r="N50" s="1666"/>
      <c r="O50" s="1666"/>
      <c r="P50" s="1666"/>
      <c r="Q50" s="1666"/>
      <c r="R50" s="1666"/>
      <c r="S50" s="1666"/>
      <c r="T50" s="1666"/>
      <c r="U50" s="1666"/>
      <c r="V50" s="1666"/>
      <c r="W50" s="1667"/>
      <c r="AA50" s="74"/>
    </row>
    <row r="51" spans="1:27">
      <c r="A51" s="1665"/>
      <c r="B51" s="1666"/>
      <c r="C51" s="1666"/>
      <c r="D51" s="1666"/>
      <c r="E51" s="1666"/>
      <c r="F51" s="1666"/>
      <c r="G51" s="1666"/>
      <c r="H51" s="1666"/>
      <c r="I51" s="1666"/>
      <c r="J51" s="1666"/>
      <c r="K51" s="1666"/>
      <c r="L51" s="1666"/>
      <c r="M51" s="1666"/>
      <c r="N51" s="1666"/>
      <c r="O51" s="1666"/>
      <c r="P51" s="1666"/>
      <c r="Q51" s="1666"/>
      <c r="R51" s="1666"/>
      <c r="S51" s="1666"/>
      <c r="T51" s="1666"/>
      <c r="U51" s="1666"/>
      <c r="V51" s="1666"/>
      <c r="W51" s="1667"/>
      <c r="AA51" s="74"/>
    </row>
    <row r="52" spans="1:27">
      <c r="A52" s="1665"/>
      <c r="B52" s="1666"/>
      <c r="C52" s="1666"/>
      <c r="D52" s="1666"/>
      <c r="E52" s="1666"/>
      <c r="F52" s="1666"/>
      <c r="G52" s="1666"/>
      <c r="H52" s="1666"/>
      <c r="I52" s="1666"/>
      <c r="J52" s="1666"/>
      <c r="K52" s="1666"/>
      <c r="L52" s="1666"/>
      <c r="M52" s="1666"/>
      <c r="N52" s="1666"/>
      <c r="O52" s="1666"/>
      <c r="P52" s="1666"/>
      <c r="Q52" s="1666"/>
      <c r="R52" s="1666"/>
      <c r="S52" s="1666"/>
      <c r="T52" s="1666"/>
      <c r="U52" s="1666"/>
      <c r="V52" s="1666"/>
      <c r="W52" s="1667"/>
      <c r="AA52" s="74"/>
    </row>
    <row r="53" spans="1:27">
      <c r="A53" s="1665"/>
      <c r="B53" s="1666"/>
      <c r="C53" s="1666"/>
      <c r="D53" s="1666"/>
      <c r="E53" s="1666"/>
      <c r="F53" s="1666"/>
      <c r="G53" s="1666"/>
      <c r="H53" s="1666"/>
      <c r="I53" s="1666"/>
      <c r="J53" s="1666"/>
      <c r="K53" s="1666"/>
      <c r="L53" s="1666"/>
      <c r="M53" s="1666"/>
      <c r="N53" s="1666"/>
      <c r="O53" s="1666"/>
      <c r="P53" s="1666"/>
      <c r="Q53" s="1666"/>
      <c r="R53" s="1666"/>
      <c r="S53" s="1666"/>
      <c r="T53" s="1666"/>
      <c r="U53" s="1666"/>
      <c r="V53" s="1666"/>
      <c r="W53" s="1667"/>
      <c r="AA53" s="74"/>
    </row>
    <row r="54" spans="1:27">
      <c r="A54" s="1665"/>
      <c r="B54" s="1666"/>
      <c r="C54" s="1666"/>
      <c r="D54" s="1666"/>
      <c r="E54" s="1666"/>
      <c r="F54" s="1666"/>
      <c r="G54" s="1666"/>
      <c r="H54" s="1666"/>
      <c r="I54" s="1666"/>
      <c r="J54" s="1666"/>
      <c r="K54" s="1666"/>
      <c r="L54" s="1666"/>
      <c r="M54" s="1666"/>
      <c r="N54" s="1666"/>
      <c r="O54" s="1666"/>
      <c r="P54" s="1666"/>
      <c r="Q54" s="1666"/>
      <c r="R54" s="1666"/>
      <c r="S54" s="1666"/>
      <c r="T54" s="1666"/>
      <c r="U54" s="1666"/>
      <c r="V54" s="1666"/>
      <c r="W54" s="1667"/>
      <c r="AA54" s="74"/>
    </row>
    <row r="55" spans="1:27">
      <c r="A55" s="1665"/>
      <c r="B55" s="1666"/>
      <c r="C55" s="1666"/>
      <c r="D55" s="1666"/>
      <c r="E55" s="1666"/>
      <c r="F55" s="1666"/>
      <c r="G55" s="1666"/>
      <c r="H55" s="1666"/>
      <c r="I55" s="1666"/>
      <c r="J55" s="1666"/>
      <c r="K55" s="1666"/>
      <c r="L55" s="1666"/>
      <c r="M55" s="1666"/>
      <c r="N55" s="1666"/>
      <c r="O55" s="1666"/>
      <c r="P55" s="1666"/>
      <c r="Q55" s="1666"/>
      <c r="R55" s="1666"/>
      <c r="S55" s="1666"/>
      <c r="T55" s="1666"/>
      <c r="U55" s="1666"/>
      <c r="V55" s="1666"/>
      <c r="W55" s="1667"/>
      <c r="AA55" s="74"/>
    </row>
    <row r="56" spans="1:27">
      <c r="A56" s="1665"/>
      <c r="B56" s="1666"/>
      <c r="C56" s="1666"/>
      <c r="D56" s="1666"/>
      <c r="E56" s="1666"/>
      <c r="F56" s="1666"/>
      <c r="G56" s="1666"/>
      <c r="H56" s="1666"/>
      <c r="I56" s="1666"/>
      <c r="J56" s="1666"/>
      <c r="K56" s="1666"/>
      <c r="L56" s="1666"/>
      <c r="M56" s="1666"/>
      <c r="N56" s="1666"/>
      <c r="O56" s="1666"/>
      <c r="P56" s="1666"/>
      <c r="Q56" s="1666"/>
      <c r="R56" s="1666"/>
      <c r="S56" s="1666"/>
      <c r="T56" s="1666"/>
      <c r="U56" s="1666"/>
      <c r="V56" s="1666"/>
      <c r="W56" s="1667"/>
      <c r="AA56" s="74"/>
    </row>
    <row r="57" spans="1:27">
      <c r="A57" s="1665"/>
      <c r="B57" s="1666"/>
      <c r="C57" s="1666"/>
      <c r="D57" s="1666"/>
      <c r="E57" s="1666"/>
      <c r="F57" s="1666"/>
      <c r="G57" s="1666"/>
      <c r="H57" s="1666"/>
      <c r="I57" s="1666"/>
      <c r="J57" s="1666"/>
      <c r="K57" s="1666"/>
      <c r="L57" s="1666"/>
      <c r="M57" s="1666"/>
      <c r="N57" s="1666"/>
      <c r="O57" s="1666"/>
      <c r="P57" s="1666"/>
      <c r="Q57" s="1666"/>
      <c r="R57" s="1666"/>
      <c r="S57" s="1666"/>
      <c r="T57" s="1666"/>
      <c r="U57" s="1666"/>
      <c r="V57" s="1666"/>
      <c r="W57" s="1667"/>
      <c r="AA57" s="74"/>
    </row>
    <row r="58" spans="1:27">
      <c r="A58" s="1665"/>
      <c r="B58" s="1666"/>
      <c r="C58" s="1666"/>
      <c r="D58" s="1666"/>
      <c r="E58" s="1666"/>
      <c r="F58" s="1666"/>
      <c r="G58" s="1666"/>
      <c r="H58" s="1666"/>
      <c r="I58" s="1666"/>
      <c r="J58" s="1666"/>
      <c r="K58" s="1666"/>
      <c r="L58" s="1666"/>
      <c r="M58" s="1666"/>
      <c r="N58" s="1666"/>
      <c r="O58" s="1666"/>
      <c r="P58" s="1666"/>
      <c r="Q58" s="1666"/>
      <c r="R58" s="1666"/>
      <c r="S58" s="1666"/>
      <c r="T58" s="1666"/>
      <c r="U58" s="1666"/>
      <c r="V58" s="1666"/>
      <c r="W58" s="1667"/>
      <c r="AA58" s="74"/>
    </row>
    <row r="59" spans="1:27">
      <c r="A59" s="1665"/>
      <c r="B59" s="1666"/>
      <c r="C59" s="1666"/>
      <c r="D59" s="1666"/>
      <c r="E59" s="1666"/>
      <c r="F59" s="1666"/>
      <c r="G59" s="1666"/>
      <c r="H59" s="1666"/>
      <c r="I59" s="1666"/>
      <c r="J59" s="1666"/>
      <c r="K59" s="1666"/>
      <c r="L59" s="1666"/>
      <c r="M59" s="1666"/>
      <c r="N59" s="1666"/>
      <c r="O59" s="1666"/>
      <c r="P59" s="1666"/>
      <c r="Q59" s="1666"/>
      <c r="R59" s="1666"/>
      <c r="S59" s="1666"/>
      <c r="T59" s="1666"/>
      <c r="U59" s="1666"/>
      <c r="V59" s="1666"/>
      <c r="W59" s="1667"/>
      <c r="AA59" s="74"/>
    </row>
    <row r="60" spans="1:27">
      <c r="A60" s="1665"/>
      <c r="B60" s="1666"/>
      <c r="C60" s="1666"/>
      <c r="D60" s="1666"/>
      <c r="E60" s="1666"/>
      <c r="F60" s="1666"/>
      <c r="G60" s="1666"/>
      <c r="H60" s="1666"/>
      <c r="I60" s="1666"/>
      <c r="J60" s="1666"/>
      <c r="K60" s="1666"/>
      <c r="L60" s="1666"/>
      <c r="M60" s="1666"/>
      <c r="N60" s="1666"/>
      <c r="O60" s="1666"/>
      <c r="P60" s="1666"/>
      <c r="Q60" s="1666"/>
      <c r="R60" s="1666"/>
      <c r="S60" s="1666"/>
      <c r="T60" s="1666"/>
      <c r="U60" s="1666"/>
      <c r="V60" s="1666"/>
      <c r="W60" s="1667"/>
      <c r="AA60" s="74"/>
    </row>
    <row r="61" spans="1:27">
      <c r="A61" s="1665"/>
      <c r="B61" s="1666"/>
      <c r="C61" s="1666"/>
      <c r="D61" s="1666"/>
      <c r="E61" s="1666"/>
      <c r="F61" s="1666"/>
      <c r="G61" s="1666"/>
      <c r="H61" s="1666"/>
      <c r="I61" s="1666"/>
      <c r="J61" s="1666"/>
      <c r="K61" s="1666"/>
      <c r="L61" s="1666"/>
      <c r="M61" s="1666"/>
      <c r="N61" s="1666"/>
      <c r="O61" s="1666"/>
      <c r="P61" s="1666"/>
      <c r="Q61" s="1666"/>
      <c r="R61" s="1666"/>
      <c r="S61" s="1666"/>
      <c r="T61" s="1666"/>
      <c r="U61" s="1666"/>
      <c r="V61" s="1666"/>
      <c r="W61" s="1667"/>
      <c r="AA61" s="74"/>
    </row>
    <row r="62" spans="1:27" ht="12.75" thickBot="1">
      <c r="A62" s="1668"/>
      <c r="B62" s="1669"/>
      <c r="C62" s="1669"/>
      <c r="D62" s="1669"/>
      <c r="E62" s="1669"/>
      <c r="F62" s="1669"/>
      <c r="G62" s="1669"/>
      <c r="H62" s="1669"/>
      <c r="I62" s="1669"/>
      <c r="J62" s="1669"/>
      <c r="K62" s="1669"/>
      <c r="L62" s="1669"/>
      <c r="M62" s="1669"/>
      <c r="N62" s="1669"/>
      <c r="O62" s="1669"/>
      <c r="P62" s="1669"/>
      <c r="Q62" s="1669"/>
      <c r="R62" s="1669"/>
      <c r="S62" s="1669"/>
      <c r="T62" s="1669"/>
      <c r="U62" s="1669"/>
      <c r="V62" s="1669"/>
      <c r="W62" s="1670"/>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2" sqref="B12:G12"/>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0" t="s">
        <v>1132</v>
      </c>
      <c r="B1" s="1681"/>
      <c r="C1" s="1681"/>
      <c r="D1" s="1681"/>
      <c r="E1" s="1681"/>
      <c r="F1" s="1681"/>
      <c r="G1" s="1681"/>
      <c r="J1" s="53"/>
    </row>
    <row r="2" spans="1:11" ht="35.1" customHeight="1" thickBot="1">
      <c r="A2" s="1272" t="s">
        <v>832</v>
      </c>
      <c r="B2" s="1272"/>
      <c r="C2" s="1272"/>
      <c r="D2" s="1272"/>
      <c r="E2" s="1272"/>
      <c r="F2" s="1292"/>
      <c r="G2" s="717" t="str">
        <f>IF(COUNTIF(I12,"×")&gt;=1,"未入力あり","入力済")</f>
        <v>入力済</v>
      </c>
      <c r="H2" s="1618"/>
      <c r="I2" s="705"/>
      <c r="J2" s="53"/>
    </row>
    <row r="3" spans="1:11" ht="5.0999999999999996" customHeight="1">
      <c r="A3" s="410"/>
      <c r="B3" s="410"/>
      <c r="C3" s="410"/>
      <c r="D3" s="410"/>
      <c r="E3" s="410"/>
      <c r="F3" s="410"/>
      <c r="G3" s="410"/>
      <c r="H3" s="1618"/>
      <c r="I3" s="705"/>
      <c r="J3" s="8"/>
    </row>
    <row r="4" spans="1:11" ht="20.100000000000001" customHeight="1">
      <c r="A4" s="410"/>
      <c r="B4" s="410"/>
      <c r="C4" s="410" t="s">
        <v>1133</v>
      </c>
      <c r="D4" s="410"/>
      <c r="E4" s="410"/>
      <c r="F4" s="719" t="s">
        <v>725</v>
      </c>
      <c r="G4" s="747" t="str">
        <f>表紙!E2</f>
        <v>医療法人徳洲会　松原徳洲会病院</v>
      </c>
      <c r="H4" s="1618"/>
      <c r="I4" s="705"/>
      <c r="J4" s="53"/>
    </row>
    <row r="5" spans="1:11" ht="20.100000000000001" customHeight="1">
      <c r="F5" s="1096" t="s">
        <v>878</v>
      </c>
      <c r="G5" s="1" t="str">
        <f>別紙1未充足要件!E5</f>
        <v>令和７年９月１日時点</v>
      </c>
      <c r="K5" s="139" t="s">
        <v>204</v>
      </c>
    </row>
    <row r="6" spans="1:11" ht="20.100000000000001" customHeight="1">
      <c r="A6" s="1685" t="s">
        <v>1134</v>
      </c>
      <c r="B6" s="1685"/>
      <c r="C6" s="1685"/>
      <c r="D6" s="1685"/>
      <c r="E6" s="1685"/>
      <c r="F6" s="1685"/>
      <c r="G6" s="1685"/>
      <c r="K6" s="74"/>
    </row>
    <row r="7" spans="1:11" ht="65.25" customHeight="1">
      <c r="A7" s="1686" t="s">
        <v>1135</v>
      </c>
      <c r="B7" s="1687"/>
      <c r="C7" s="1687"/>
      <c r="D7" s="1687"/>
      <c r="E7" s="1687"/>
      <c r="F7" s="1687"/>
      <c r="G7" s="1687"/>
      <c r="K7" s="74"/>
    </row>
    <row r="8" spans="1:11" ht="27.95" customHeight="1">
      <c r="A8" s="1682"/>
      <c r="B8" s="1683" t="s">
        <v>1136</v>
      </c>
      <c r="C8" s="1684" t="s">
        <v>1137</v>
      </c>
      <c r="D8" s="1684" t="s">
        <v>1138</v>
      </c>
      <c r="E8" s="1680" t="s">
        <v>1139</v>
      </c>
      <c r="F8" s="1680" t="s">
        <v>1140</v>
      </c>
      <c r="G8" s="394" t="s">
        <v>1141</v>
      </c>
      <c r="K8" s="74"/>
    </row>
    <row r="9" spans="1:11" ht="18" customHeight="1">
      <c r="A9" s="1682"/>
      <c r="B9" s="1683"/>
      <c r="C9" s="1684"/>
      <c r="D9" s="1684"/>
      <c r="E9" s="1680"/>
      <c r="F9" s="1680"/>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2</v>
      </c>
      <c r="D12" s="46">
        <v>1</v>
      </c>
      <c r="E12" s="45" t="s">
        <v>1825</v>
      </c>
      <c r="F12" s="45" t="s">
        <v>1869</v>
      </c>
      <c r="G12" s="44" t="s">
        <v>1870</v>
      </c>
      <c r="H12" s="759"/>
      <c r="I12" s="551" t="str">
        <f>IF(AND(B12&lt;&gt;"",C12&lt;&gt;"",D12&lt;&gt;"",E12&lt;&gt;"",F12&lt;&gt;"",G12&lt;&gt;""),"○","×")</f>
        <v>○</v>
      </c>
      <c r="K12" s="74"/>
    </row>
    <row r="13" spans="1:11" ht="36" customHeight="1" thickBot="1">
      <c r="A13" s="758">
        <v>2</v>
      </c>
      <c r="B13" s="45"/>
      <c r="C13" s="46"/>
      <c r="D13" s="46"/>
      <c r="E13" s="45"/>
      <c r="F13" s="45"/>
      <c r="G13" s="44"/>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Q31" sqref="Q31:R31"/>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1" t="s">
        <v>1150</v>
      </c>
      <c r="B1" s="1291"/>
      <c r="C1" s="1291"/>
      <c r="D1" s="1291"/>
      <c r="E1" s="1291"/>
      <c r="F1" s="1291"/>
      <c r="G1" s="1291"/>
      <c r="H1" s="1291"/>
      <c r="I1" s="1291"/>
      <c r="J1" s="1291"/>
      <c r="K1" s="1291"/>
      <c r="L1" s="1291"/>
      <c r="M1" s="1291"/>
      <c r="N1" s="1291"/>
      <c r="O1" s="1291"/>
      <c r="P1" s="1291"/>
      <c r="Q1" s="1291"/>
      <c r="R1" s="1291"/>
      <c r="S1" s="1291"/>
      <c r="T1" s="1291"/>
      <c r="U1" s="1291"/>
      <c r="V1" s="1291"/>
      <c r="W1" s="1291"/>
      <c r="Y1" s="53"/>
      <c r="Z1" s="83"/>
    </row>
    <row r="2" spans="1:29" ht="24.95" customHeight="1" thickBot="1">
      <c r="A2" s="1715" t="s">
        <v>832</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18"/>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8"/>
    </row>
    <row r="4" spans="1:29" ht="20.100000000000001" customHeight="1">
      <c r="A4" s="433"/>
      <c r="B4" s="433"/>
      <c r="C4" s="433"/>
      <c r="D4" s="761" t="s">
        <v>725</v>
      </c>
      <c r="E4" s="1709" t="str">
        <f>表紙!E2</f>
        <v>医療法人徳洲会　松原徳洲会病院</v>
      </c>
      <c r="F4" s="1710"/>
      <c r="G4" s="1710"/>
      <c r="H4" s="1710"/>
      <c r="I4" s="1710"/>
      <c r="J4" s="1710"/>
      <c r="K4" s="1710"/>
      <c r="L4" s="1710"/>
      <c r="M4" s="1710"/>
      <c r="N4" s="1710"/>
      <c r="O4" s="1710"/>
      <c r="P4" s="1710"/>
      <c r="Q4" s="1710"/>
      <c r="R4" s="1710"/>
      <c r="S4" s="1710"/>
      <c r="T4" s="1710"/>
      <c r="U4" s="1710"/>
      <c r="V4" s="1710"/>
      <c r="W4" s="1711"/>
      <c r="X4" s="1618"/>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8" t="s">
        <v>1153</v>
      </c>
      <c r="C6" s="1688"/>
      <c r="D6" s="1688"/>
      <c r="E6" s="1688"/>
      <c r="F6" s="1688"/>
      <c r="G6" s="1688"/>
      <c r="H6" s="1688"/>
      <c r="I6" s="1688"/>
      <c r="J6" s="1688"/>
      <c r="K6" s="1688"/>
      <c r="L6" s="1688"/>
      <c r="M6" s="1688"/>
      <c r="N6" s="1688"/>
      <c r="O6" s="1688"/>
      <c r="P6" s="1688"/>
      <c r="Q6" s="1688"/>
      <c r="R6" s="1688"/>
      <c r="S6" s="1688"/>
      <c r="T6" s="1688"/>
      <c r="U6" s="1688"/>
      <c r="V6" s="1688"/>
      <c r="W6" s="1688"/>
      <c r="Z6" s="765"/>
      <c r="AA6" s="123"/>
    </row>
    <row r="7" spans="1:29" ht="21" customHeight="1" thickBot="1">
      <c r="A7" s="1412">
        <v>1</v>
      </c>
      <c r="B7" s="1701" t="s">
        <v>1154</v>
      </c>
      <c r="C7" s="1702"/>
      <c r="D7" s="1702"/>
      <c r="E7" s="1702"/>
      <c r="F7" s="1702"/>
      <c r="G7" s="1702"/>
      <c r="H7" s="1702"/>
      <c r="I7" s="1702"/>
      <c r="J7" s="1702"/>
      <c r="K7" s="1702"/>
      <c r="L7" s="1703"/>
      <c r="M7" s="1478" t="s">
        <v>1871</v>
      </c>
      <c r="N7" s="1699"/>
      <c r="O7" s="1699"/>
      <c r="P7" s="1699"/>
      <c r="Q7" s="1699"/>
      <c r="R7" s="1699"/>
      <c r="S7" s="1699"/>
      <c r="T7" s="1699"/>
      <c r="U7" s="1699"/>
      <c r="V7" s="1699"/>
      <c r="W7" s="1700"/>
      <c r="X7" s="439"/>
      <c r="Y7" s="437" t="str">
        <f>IF(M7="","×","○")</f>
        <v>○</v>
      </c>
      <c r="Z7" s="765"/>
      <c r="AA7" s="123"/>
    </row>
    <row r="8" spans="1:29" ht="15" customHeight="1" thickBot="1">
      <c r="A8" s="1340"/>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40"/>
      <c r="B9" s="770" t="s">
        <v>1156</v>
      </c>
      <c r="C9" s="771"/>
      <c r="D9" s="772"/>
      <c r="E9" s="1704" t="s">
        <v>1157</v>
      </c>
      <c r="F9" s="1704"/>
      <c r="G9" s="1705"/>
      <c r="H9" s="1697" t="s">
        <v>829</v>
      </c>
      <c r="I9" s="1698"/>
      <c r="J9" s="1694" t="s">
        <v>1158</v>
      </c>
      <c r="K9" s="1696"/>
      <c r="L9" s="1697" t="s">
        <v>829</v>
      </c>
      <c r="M9" s="1698"/>
      <c r="N9" s="1694" t="s">
        <v>1159</v>
      </c>
      <c r="O9" s="1695"/>
      <c r="P9" s="1696"/>
      <c r="Q9" s="1697"/>
      <c r="R9" s="1698"/>
      <c r="S9" s="1694" t="s">
        <v>1160</v>
      </c>
      <c r="T9" s="1695"/>
      <c r="U9" s="1695"/>
      <c r="V9" s="1696"/>
      <c r="W9" s="47"/>
      <c r="X9" s="439"/>
      <c r="Y9" s="439" t="str">
        <f>IF(AND(M7="臨床試験専用の窓口がある",AND(H9="",L9="",Q9="",W9="")),"×","○")</f>
        <v>○</v>
      </c>
      <c r="Z9" s="765"/>
      <c r="AA9" s="123"/>
    </row>
    <row r="10" spans="1:29" ht="21" customHeight="1" thickBot="1">
      <c r="A10" s="1340"/>
      <c r="B10" s="1414" t="s">
        <v>846</v>
      </c>
      <c r="C10" s="1414"/>
      <c r="D10" s="1415" t="s">
        <v>1872</v>
      </c>
      <c r="E10" s="1416"/>
      <c r="F10" s="1416"/>
      <c r="G10" s="1416"/>
      <c r="H10" s="1416"/>
      <c r="I10" s="1416"/>
      <c r="J10" s="1416"/>
      <c r="K10" s="1416"/>
      <c r="L10" s="1416"/>
      <c r="M10" s="1416"/>
      <c r="N10" s="1416"/>
      <c r="O10" s="1416"/>
      <c r="P10" s="1416"/>
      <c r="Q10" s="1416"/>
      <c r="R10" s="1416"/>
      <c r="S10" s="1416"/>
      <c r="T10" s="1416"/>
      <c r="U10" s="1416"/>
      <c r="V10" s="1416"/>
      <c r="W10" s="1420"/>
      <c r="X10" s="439"/>
      <c r="Y10" s="439" t="str">
        <f>IF(AND(H9="○",D10=""),"×","○")</f>
        <v>○</v>
      </c>
      <c r="Z10" s="765"/>
      <c r="AA10" s="123"/>
    </row>
    <row r="11" spans="1:29" ht="54" customHeight="1" thickBot="1">
      <c r="A11" s="1340"/>
      <c r="B11" s="1692" t="s">
        <v>1161</v>
      </c>
      <c r="C11" s="773" t="s">
        <v>842</v>
      </c>
      <c r="D11" s="1267" t="s">
        <v>1872</v>
      </c>
      <c r="E11" s="1345"/>
      <c r="F11" s="1345"/>
      <c r="G11" s="1345"/>
      <c r="H11" s="1345"/>
      <c r="I11" s="1345"/>
      <c r="J11" s="1345"/>
      <c r="K11" s="1345"/>
      <c r="L11" s="1345"/>
      <c r="M11" s="1345"/>
      <c r="N11" s="1345"/>
      <c r="O11" s="1345"/>
      <c r="P11" s="1345"/>
      <c r="Q11" s="1345"/>
      <c r="R11" s="1345"/>
      <c r="S11" s="1345"/>
      <c r="T11" s="1345"/>
      <c r="U11" s="1345"/>
      <c r="V11" s="1345"/>
      <c r="W11" s="1268"/>
      <c r="X11" s="439"/>
      <c r="Y11" s="439"/>
      <c r="Z11" s="765"/>
      <c r="AA11" s="123"/>
    </row>
    <row r="12" spans="1:29" ht="21" customHeight="1" thickBot="1">
      <c r="A12" s="1340"/>
      <c r="B12" s="1693"/>
      <c r="C12" s="774" t="s">
        <v>866</v>
      </c>
      <c r="D12" s="1267" t="s">
        <v>1873</v>
      </c>
      <c r="E12" s="1345"/>
      <c r="F12" s="1345"/>
      <c r="G12" s="1345"/>
      <c r="H12" s="1345"/>
      <c r="I12" s="1345"/>
      <c r="J12" s="1345"/>
      <c r="K12" s="1345"/>
      <c r="L12" s="1345"/>
      <c r="M12" s="1345"/>
      <c r="N12" s="1345"/>
      <c r="O12" s="1345"/>
      <c r="P12" s="1345"/>
      <c r="Q12" s="1345"/>
      <c r="R12" s="1345"/>
      <c r="S12" s="1345"/>
      <c r="T12" s="1345"/>
      <c r="U12" s="1345"/>
      <c r="V12" s="1345"/>
      <c r="W12" s="1268"/>
      <c r="X12" s="439"/>
      <c r="Y12" s="439"/>
      <c r="Z12" s="765"/>
      <c r="AA12" s="123"/>
    </row>
    <row r="13" spans="1:29" ht="21" customHeight="1" thickBot="1">
      <c r="A13" s="1341"/>
      <c r="B13" s="1689" t="s">
        <v>847</v>
      </c>
      <c r="C13" s="1690"/>
      <c r="D13" s="1575" t="s">
        <v>1850</v>
      </c>
      <c r="E13" s="1576"/>
      <c r="F13" s="1576"/>
      <c r="G13" s="1576"/>
      <c r="H13" s="1576"/>
      <c r="I13" s="1576"/>
      <c r="J13" s="1577"/>
      <c r="K13" s="1691" t="s">
        <v>848</v>
      </c>
      <c r="L13" s="1691"/>
      <c r="M13" s="1691"/>
      <c r="N13" s="1356"/>
      <c r="O13" s="1357"/>
      <c r="P13" s="1357"/>
      <c r="Q13" s="1357"/>
      <c r="R13" s="1357"/>
      <c r="S13" s="1357"/>
      <c r="T13" s="1357"/>
      <c r="U13" s="1357"/>
      <c r="V13" s="1357"/>
      <c r="W13" s="1358"/>
      <c r="X13" s="439"/>
      <c r="Y13" s="439" t="str">
        <f>IF(AND(L9="○",D13=""),"×","○")</f>
        <v>○</v>
      </c>
      <c r="Z13" s="765"/>
      <c r="AA13" s="123"/>
    </row>
    <row r="14" spans="1:29" ht="21.75" customHeight="1">
      <c r="A14" s="1412">
        <v>2</v>
      </c>
      <c r="B14" s="1706" t="s">
        <v>1162</v>
      </c>
      <c r="C14" s="1707"/>
      <c r="D14" s="1707"/>
      <c r="E14" s="1707"/>
      <c r="F14" s="1707"/>
      <c r="G14" s="1707"/>
      <c r="H14" s="1707"/>
      <c r="I14" s="1707"/>
      <c r="J14" s="1707"/>
      <c r="K14" s="1707"/>
      <c r="L14" s="1708"/>
      <c r="M14" s="1717" t="s">
        <v>1871</v>
      </c>
      <c r="N14" s="1718"/>
      <c r="O14" s="1718"/>
      <c r="P14" s="1718"/>
      <c r="Q14" s="1718"/>
      <c r="R14" s="1718"/>
      <c r="S14" s="1718"/>
      <c r="T14" s="1718"/>
      <c r="U14" s="1718"/>
      <c r="V14" s="1718"/>
      <c r="W14" s="1719"/>
      <c r="X14" s="439"/>
      <c r="Y14" s="437" t="str">
        <f>IF(M14="","×","○")</f>
        <v>○</v>
      </c>
      <c r="Z14" s="765"/>
      <c r="AA14" s="123"/>
    </row>
    <row r="15" spans="1:29" ht="15" customHeight="1" thickBot="1">
      <c r="A15" s="1340"/>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40"/>
      <c r="B16" s="770" t="s">
        <v>1156</v>
      </c>
      <c r="C16" s="771"/>
      <c r="D16" s="772"/>
      <c r="E16" s="1704" t="s">
        <v>1157</v>
      </c>
      <c r="F16" s="1704"/>
      <c r="G16" s="1705"/>
      <c r="H16" s="1697" t="s">
        <v>829</v>
      </c>
      <c r="I16" s="1698"/>
      <c r="J16" s="1694" t="s">
        <v>1158</v>
      </c>
      <c r="K16" s="1696"/>
      <c r="L16" s="1697" t="s">
        <v>829</v>
      </c>
      <c r="M16" s="1698"/>
      <c r="N16" s="1694" t="s">
        <v>1159</v>
      </c>
      <c r="O16" s="1695"/>
      <c r="P16" s="1696"/>
      <c r="Q16" s="1697"/>
      <c r="R16" s="1698"/>
      <c r="S16" s="1694" t="s">
        <v>1160</v>
      </c>
      <c r="T16" s="1695"/>
      <c r="U16" s="1695"/>
      <c r="V16" s="1696"/>
      <c r="W16" s="47"/>
      <c r="Y16" s="439" t="str">
        <f>IF(AND(M14="臨床試験専用の窓口がある",AND(H16="",L16="",Q16="",W16="")),"×","○")</f>
        <v>○</v>
      </c>
      <c r="Z16" s="777"/>
      <c r="AA16" s="782"/>
      <c r="AC16" s="778"/>
    </row>
    <row r="17" spans="1:27" ht="21" customHeight="1" thickBot="1">
      <c r="A17" s="1340"/>
      <c r="B17" s="1414" t="s">
        <v>846</v>
      </c>
      <c r="C17" s="1414"/>
      <c r="D17" s="1415" t="s">
        <v>1872</v>
      </c>
      <c r="E17" s="1416"/>
      <c r="F17" s="1416"/>
      <c r="G17" s="1416"/>
      <c r="H17" s="1416"/>
      <c r="I17" s="1416"/>
      <c r="J17" s="1416"/>
      <c r="K17" s="1416"/>
      <c r="L17" s="1416"/>
      <c r="M17" s="1416"/>
      <c r="N17" s="1416"/>
      <c r="O17" s="1416"/>
      <c r="P17" s="1416"/>
      <c r="Q17" s="1416"/>
      <c r="R17" s="1416"/>
      <c r="S17" s="1416"/>
      <c r="T17" s="1416"/>
      <c r="U17" s="1416"/>
      <c r="V17" s="1416"/>
      <c r="W17" s="1420"/>
      <c r="Y17" s="439" t="str">
        <f>IF(AND(H16="○",D17=""),"×","○")</f>
        <v>○</v>
      </c>
      <c r="Z17" s="765"/>
      <c r="AA17" s="123"/>
    </row>
    <row r="18" spans="1:27" ht="53.25" customHeight="1" thickBot="1">
      <c r="A18" s="1340"/>
      <c r="B18" s="1692" t="s">
        <v>1161</v>
      </c>
      <c r="C18" s="773" t="s">
        <v>842</v>
      </c>
      <c r="D18" s="1267" t="s">
        <v>1872</v>
      </c>
      <c r="E18" s="1345"/>
      <c r="F18" s="1345"/>
      <c r="G18" s="1345"/>
      <c r="H18" s="1345"/>
      <c r="I18" s="1345"/>
      <c r="J18" s="1345"/>
      <c r="K18" s="1345"/>
      <c r="L18" s="1345"/>
      <c r="M18" s="1345"/>
      <c r="N18" s="1345"/>
      <c r="O18" s="1345"/>
      <c r="P18" s="1345"/>
      <c r="Q18" s="1345"/>
      <c r="R18" s="1345"/>
      <c r="S18" s="1345"/>
      <c r="T18" s="1345"/>
      <c r="U18" s="1345"/>
      <c r="V18" s="1345"/>
      <c r="W18" s="1268"/>
      <c r="Y18" s="439"/>
      <c r="Z18" s="765"/>
      <c r="AA18" s="123"/>
    </row>
    <row r="19" spans="1:27" ht="21" customHeight="1" thickBot="1">
      <c r="A19" s="1340"/>
      <c r="B19" s="1693"/>
      <c r="C19" s="774" t="s">
        <v>866</v>
      </c>
      <c r="D19" s="1267" t="s">
        <v>1873</v>
      </c>
      <c r="E19" s="1345"/>
      <c r="F19" s="1345"/>
      <c r="G19" s="1345"/>
      <c r="H19" s="1345"/>
      <c r="I19" s="1345"/>
      <c r="J19" s="1345"/>
      <c r="K19" s="1345"/>
      <c r="L19" s="1345"/>
      <c r="M19" s="1345"/>
      <c r="N19" s="1345"/>
      <c r="O19" s="1345"/>
      <c r="P19" s="1345"/>
      <c r="Q19" s="1345"/>
      <c r="R19" s="1345"/>
      <c r="S19" s="1345"/>
      <c r="T19" s="1345"/>
      <c r="U19" s="1345"/>
      <c r="V19" s="1345"/>
      <c r="W19" s="1268"/>
      <c r="Z19" s="765"/>
      <c r="AA19" s="123"/>
    </row>
    <row r="20" spans="1:27" ht="30" customHeight="1" thickBot="1">
      <c r="A20" s="1341"/>
      <c r="B20" s="1689" t="s">
        <v>847</v>
      </c>
      <c r="C20" s="1690"/>
      <c r="D20" s="1575" t="s">
        <v>1850</v>
      </c>
      <c r="E20" s="1576"/>
      <c r="F20" s="1576"/>
      <c r="G20" s="1576"/>
      <c r="H20" s="1576"/>
      <c r="I20" s="1576"/>
      <c r="J20" s="1577"/>
      <c r="K20" s="1691" t="s">
        <v>848</v>
      </c>
      <c r="L20" s="1691"/>
      <c r="M20" s="1691"/>
      <c r="N20" s="1356"/>
      <c r="O20" s="1357"/>
      <c r="P20" s="1357"/>
      <c r="Q20" s="1357"/>
      <c r="R20" s="1357"/>
      <c r="S20" s="1357"/>
      <c r="T20" s="1357"/>
      <c r="U20" s="1357"/>
      <c r="V20" s="1357"/>
      <c r="W20" s="1358"/>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2">
        <v>1</v>
      </c>
      <c r="B22" s="1473" t="s">
        <v>1165</v>
      </c>
      <c r="C22" s="1474"/>
      <c r="D22" s="1474"/>
      <c r="E22" s="1474"/>
      <c r="F22" s="1474"/>
      <c r="G22" s="1474"/>
      <c r="H22" s="1474"/>
      <c r="I22" s="1474"/>
      <c r="J22" s="1474"/>
      <c r="K22" s="1474"/>
      <c r="L22" s="1722"/>
      <c r="M22" s="1478" t="s">
        <v>1871</v>
      </c>
      <c r="N22" s="1699"/>
      <c r="O22" s="1699"/>
      <c r="P22" s="1699"/>
      <c r="Q22" s="1699"/>
      <c r="R22" s="1699"/>
      <c r="S22" s="1699"/>
      <c r="T22" s="1699"/>
      <c r="U22" s="1699"/>
      <c r="V22" s="1699"/>
      <c r="W22" s="1700"/>
      <c r="Y22" s="437" t="str">
        <f>IF(M22="","×","○")</f>
        <v>○</v>
      </c>
      <c r="Z22" s="765"/>
      <c r="AA22" s="123"/>
    </row>
    <row r="23" spans="1:27" ht="24" customHeight="1" thickBot="1">
      <c r="A23" s="1720"/>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0"/>
      <c r="B24" s="770" t="s">
        <v>1156</v>
      </c>
      <c r="C24" s="771"/>
      <c r="D24" s="772"/>
      <c r="E24" s="1704" t="s">
        <v>1157</v>
      </c>
      <c r="F24" s="1704"/>
      <c r="G24" s="1705"/>
      <c r="H24" s="1697" t="s">
        <v>829</v>
      </c>
      <c r="I24" s="1698"/>
      <c r="J24" s="1694" t="s">
        <v>1158</v>
      </c>
      <c r="K24" s="1696"/>
      <c r="L24" s="1697" t="s">
        <v>829</v>
      </c>
      <c r="M24" s="1698"/>
      <c r="N24" s="1694" t="s">
        <v>1159</v>
      </c>
      <c r="O24" s="1695"/>
      <c r="P24" s="1696"/>
      <c r="Q24" s="1697"/>
      <c r="R24" s="1698"/>
      <c r="S24" s="1694" t="s">
        <v>1160</v>
      </c>
      <c r="T24" s="1695"/>
      <c r="U24" s="1695"/>
      <c r="V24" s="1696"/>
      <c r="W24" s="47"/>
      <c r="Y24" s="439" t="str">
        <f>IF(AND(M22="治験専用の窓口がある",AND(H24="",L24="",Q24="",W24="")),"×","○")</f>
        <v>○</v>
      </c>
      <c r="Z24" s="765"/>
      <c r="AA24" s="123"/>
    </row>
    <row r="25" spans="1:27" ht="24" customHeight="1" thickBot="1">
      <c r="A25" s="1720"/>
      <c r="B25" s="1414" t="s">
        <v>846</v>
      </c>
      <c r="C25" s="1414"/>
      <c r="D25" s="1415" t="s">
        <v>1872</v>
      </c>
      <c r="E25" s="1416"/>
      <c r="F25" s="1416"/>
      <c r="G25" s="1416"/>
      <c r="H25" s="1416"/>
      <c r="I25" s="1416"/>
      <c r="J25" s="1416"/>
      <c r="K25" s="1416"/>
      <c r="L25" s="1416"/>
      <c r="M25" s="1416"/>
      <c r="N25" s="1416"/>
      <c r="O25" s="1416"/>
      <c r="P25" s="1416"/>
      <c r="Q25" s="1416"/>
      <c r="R25" s="1416"/>
      <c r="S25" s="1416"/>
      <c r="T25" s="1416"/>
      <c r="U25" s="1416"/>
      <c r="V25" s="1416"/>
      <c r="W25" s="1420"/>
      <c r="Y25" s="439" t="str">
        <f>IF(AND(H24="○",D25=""),"×","○")</f>
        <v>○</v>
      </c>
      <c r="Z25" s="765"/>
      <c r="AA25" s="123"/>
    </row>
    <row r="26" spans="1:27" ht="54" customHeight="1" thickBot="1">
      <c r="A26" s="1720"/>
      <c r="B26" s="1692" t="s">
        <v>1161</v>
      </c>
      <c r="C26" s="773" t="s">
        <v>842</v>
      </c>
      <c r="D26" s="1267" t="s">
        <v>1872</v>
      </c>
      <c r="E26" s="1345"/>
      <c r="F26" s="1345"/>
      <c r="G26" s="1345"/>
      <c r="H26" s="1345"/>
      <c r="I26" s="1345"/>
      <c r="J26" s="1345"/>
      <c r="K26" s="1345"/>
      <c r="L26" s="1345"/>
      <c r="M26" s="1345"/>
      <c r="N26" s="1345"/>
      <c r="O26" s="1345"/>
      <c r="P26" s="1345"/>
      <c r="Q26" s="1345"/>
      <c r="R26" s="1345"/>
      <c r="S26" s="1345"/>
      <c r="T26" s="1345"/>
      <c r="U26" s="1345"/>
      <c r="V26" s="1345"/>
      <c r="W26" s="1268"/>
      <c r="Z26" s="765"/>
      <c r="AA26" s="123"/>
    </row>
    <row r="27" spans="1:27" ht="24" customHeight="1" thickBot="1">
      <c r="A27" s="1720"/>
      <c r="B27" s="1693"/>
      <c r="C27" s="774" t="s">
        <v>866</v>
      </c>
      <c r="D27" s="1267" t="s">
        <v>1873</v>
      </c>
      <c r="E27" s="1345"/>
      <c r="F27" s="1345"/>
      <c r="G27" s="1345"/>
      <c r="H27" s="1345"/>
      <c r="I27" s="1345"/>
      <c r="J27" s="1345"/>
      <c r="K27" s="1345"/>
      <c r="L27" s="1345"/>
      <c r="M27" s="1345"/>
      <c r="N27" s="1345"/>
      <c r="O27" s="1345"/>
      <c r="P27" s="1345"/>
      <c r="Q27" s="1345"/>
      <c r="R27" s="1345"/>
      <c r="S27" s="1345"/>
      <c r="T27" s="1345"/>
      <c r="U27" s="1345"/>
      <c r="V27" s="1345"/>
      <c r="W27" s="1268"/>
      <c r="Z27" s="765"/>
      <c r="AA27" s="123"/>
    </row>
    <row r="28" spans="1:27" ht="24" customHeight="1" thickBot="1">
      <c r="A28" s="1721"/>
      <c r="B28" s="1689" t="s">
        <v>847</v>
      </c>
      <c r="C28" s="1690"/>
      <c r="D28" s="1575" t="s">
        <v>1850</v>
      </c>
      <c r="E28" s="1576"/>
      <c r="F28" s="1576"/>
      <c r="G28" s="1576"/>
      <c r="H28" s="1576"/>
      <c r="I28" s="1576"/>
      <c r="J28" s="1577"/>
      <c r="K28" s="1691" t="s">
        <v>848</v>
      </c>
      <c r="L28" s="1691"/>
      <c r="M28" s="1691"/>
      <c r="N28" s="1356"/>
      <c r="O28" s="1357"/>
      <c r="P28" s="1357"/>
      <c r="Q28" s="1357"/>
      <c r="R28" s="1357"/>
      <c r="S28" s="1357"/>
      <c r="T28" s="1357"/>
      <c r="U28" s="1357"/>
      <c r="V28" s="1357"/>
      <c r="W28" s="1358"/>
      <c r="Y28" s="439" t="str">
        <f>IF(AND(L24="○",D28=""),"×","○")</f>
        <v>○</v>
      </c>
      <c r="Z28" s="765"/>
      <c r="AA28" s="123"/>
    </row>
    <row r="29" spans="1:27" ht="21" customHeight="1" thickBot="1">
      <c r="A29" s="1412">
        <v>2</v>
      </c>
      <c r="B29" s="1706" t="s">
        <v>1167</v>
      </c>
      <c r="C29" s="1707"/>
      <c r="D29" s="1707"/>
      <c r="E29" s="1707"/>
      <c r="F29" s="1707"/>
      <c r="G29" s="1707"/>
      <c r="H29" s="1707"/>
      <c r="I29" s="1707"/>
      <c r="J29" s="1707"/>
      <c r="K29" s="1707"/>
      <c r="L29" s="1723"/>
      <c r="M29" s="1478" t="s">
        <v>1871</v>
      </c>
      <c r="N29" s="1699"/>
      <c r="O29" s="1699"/>
      <c r="P29" s="1699"/>
      <c r="Q29" s="1699"/>
      <c r="R29" s="1699"/>
      <c r="S29" s="1699"/>
      <c r="T29" s="1699"/>
      <c r="U29" s="1699"/>
      <c r="V29" s="1699"/>
      <c r="W29" s="1700"/>
      <c r="Y29" s="437" t="str">
        <f>IF(M29="","×","○")</f>
        <v>○</v>
      </c>
      <c r="Z29" s="765"/>
      <c r="AA29" s="123"/>
    </row>
    <row r="30" spans="1:27" ht="24" customHeight="1" thickBot="1">
      <c r="A30" s="1340"/>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40"/>
      <c r="B31" s="770" t="s">
        <v>1156</v>
      </c>
      <c r="C31" s="771"/>
      <c r="D31" s="772"/>
      <c r="E31" s="1704" t="s">
        <v>1157</v>
      </c>
      <c r="F31" s="1704"/>
      <c r="G31" s="1705"/>
      <c r="H31" s="1697" t="s">
        <v>829</v>
      </c>
      <c r="I31" s="1698"/>
      <c r="J31" s="1694" t="s">
        <v>1158</v>
      </c>
      <c r="K31" s="1696"/>
      <c r="L31" s="1697" t="s">
        <v>829</v>
      </c>
      <c r="M31" s="1698"/>
      <c r="N31" s="1694" t="s">
        <v>1159</v>
      </c>
      <c r="O31" s="1695"/>
      <c r="P31" s="1696"/>
      <c r="Q31" s="1697"/>
      <c r="R31" s="1698"/>
      <c r="S31" s="1694" t="s">
        <v>1160</v>
      </c>
      <c r="T31" s="1695"/>
      <c r="U31" s="1695"/>
      <c r="V31" s="1696"/>
      <c r="W31" s="47"/>
      <c r="Y31" s="439" t="str">
        <f>IF(AND(M29="治験専用の窓口がある",AND(H31="",L31="",Q31="",W31="")),"×","○")</f>
        <v>○</v>
      </c>
      <c r="Z31" s="765"/>
      <c r="AA31" s="123"/>
    </row>
    <row r="32" spans="1:27" ht="24" customHeight="1" thickBot="1">
      <c r="A32" s="1340"/>
      <c r="B32" s="1414" t="s">
        <v>846</v>
      </c>
      <c r="C32" s="1414"/>
      <c r="D32" s="1415" t="s">
        <v>1872</v>
      </c>
      <c r="E32" s="1416"/>
      <c r="F32" s="1416"/>
      <c r="G32" s="1416"/>
      <c r="H32" s="1416"/>
      <c r="I32" s="1416"/>
      <c r="J32" s="1416"/>
      <c r="K32" s="1416"/>
      <c r="L32" s="1416"/>
      <c r="M32" s="1416"/>
      <c r="N32" s="1416"/>
      <c r="O32" s="1416"/>
      <c r="P32" s="1416"/>
      <c r="Q32" s="1416"/>
      <c r="R32" s="1416"/>
      <c r="S32" s="1416"/>
      <c r="T32" s="1416"/>
      <c r="U32" s="1416"/>
      <c r="V32" s="1416"/>
      <c r="W32" s="1420"/>
      <c r="Y32" s="439" t="str">
        <f>IF(AND(H31="○",D32=""),"×","○")</f>
        <v>○</v>
      </c>
      <c r="Z32" s="765"/>
      <c r="AA32" s="123"/>
    </row>
    <row r="33" spans="1:27" ht="53.25" customHeight="1" thickBot="1">
      <c r="A33" s="1340"/>
      <c r="B33" s="1692" t="s">
        <v>1161</v>
      </c>
      <c r="C33" s="773" t="s">
        <v>842</v>
      </c>
      <c r="D33" s="1267" t="s">
        <v>1872</v>
      </c>
      <c r="E33" s="1345"/>
      <c r="F33" s="1345"/>
      <c r="G33" s="1345"/>
      <c r="H33" s="1345"/>
      <c r="I33" s="1345"/>
      <c r="J33" s="1345"/>
      <c r="K33" s="1345"/>
      <c r="L33" s="1345"/>
      <c r="M33" s="1345"/>
      <c r="N33" s="1345"/>
      <c r="O33" s="1345"/>
      <c r="P33" s="1345"/>
      <c r="Q33" s="1345"/>
      <c r="R33" s="1345"/>
      <c r="S33" s="1345"/>
      <c r="T33" s="1345"/>
      <c r="U33" s="1345"/>
      <c r="V33" s="1345"/>
      <c r="W33" s="1268"/>
      <c r="Z33" s="765"/>
      <c r="AA33" s="123"/>
    </row>
    <row r="34" spans="1:27" ht="24" customHeight="1" thickBot="1">
      <c r="A34" s="1340"/>
      <c r="B34" s="1693"/>
      <c r="C34" s="774" t="s">
        <v>866</v>
      </c>
      <c r="D34" s="1267" t="s">
        <v>1873</v>
      </c>
      <c r="E34" s="1345"/>
      <c r="F34" s="1345"/>
      <c r="G34" s="1345"/>
      <c r="H34" s="1345"/>
      <c r="I34" s="1345"/>
      <c r="J34" s="1345"/>
      <c r="K34" s="1345"/>
      <c r="L34" s="1345"/>
      <c r="M34" s="1345"/>
      <c r="N34" s="1345"/>
      <c r="O34" s="1345"/>
      <c r="P34" s="1345"/>
      <c r="Q34" s="1345"/>
      <c r="R34" s="1345"/>
      <c r="S34" s="1345"/>
      <c r="T34" s="1345"/>
      <c r="U34" s="1345"/>
      <c r="V34" s="1345"/>
      <c r="W34" s="1268"/>
      <c r="Z34" s="765"/>
      <c r="AA34" s="123"/>
    </row>
    <row r="35" spans="1:27" ht="24" customHeight="1" thickBot="1">
      <c r="A35" s="1340"/>
      <c r="B35" s="1689" t="s">
        <v>847</v>
      </c>
      <c r="C35" s="1690"/>
      <c r="D35" s="1575" t="s">
        <v>1850</v>
      </c>
      <c r="E35" s="1576"/>
      <c r="F35" s="1576"/>
      <c r="G35" s="1576"/>
      <c r="H35" s="1576"/>
      <c r="I35" s="1576"/>
      <c r="J35" s="1577"/>
      <c r="K35" s="1691" t="s">
        <v>848</v>
      </c>
      <c r="L35" s="1691"/>
      <c r="M35" s="1691"/>
      <c r="N35" s="1356"/>
      <c r="O35" s="1357"/>
      <c r="P35" s="1357"/>
      <c r="Q35" s="1357"/>
      <c r="R35" s="1357"/>
      <c r="S35" s="1357"/>
      <c r="T35" s="1357"/>
      <c r="U35" s="1357"/>
      <c r="V35" s="1357"/>
      <c r="W35" s="1358"/>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0" t="s">
        <v>1168</v>
      </c>
      <c r="B1" s="1270"/>
      <c r="C1" s="1270"/>
      <c r="D1" s="1270"/>
      <c r="E1" s="1270"/>
      <c r="F1" s="1270"/>
      <c r="G1" s="1270"/>
      <c r="H1" s="1270"/>
      <c r="I1" s="1270"/>
      <c r="J1" s="1270"/>
      <c r="K1" s="1270"/>
      <c r="L1" s="1270"/>
      <c r="M1" s="1270"/>
      <c r="N1" s="1270"/>
      <c r="O1" s="1270"/>
      <c r="P1" s="784"/>
      <c r="Q1" s="573"/>
      <c r="R1" s="83"/>
      <c r="S1" s="574"/>
    </row>
    <row r="2" spans="1:19" ht="24.95" customHeight="1" thickBot="1">
      <c r="A2" s="1383" t="s">
        <v>832</v>
      </c>
      <c r="B2" s="1383"/>
      <c r="C2" s="1383"/>
      <c r="D2" s="1383"/>
      <c r="E2" s="1383"/>
      <c r="F2" s="1383"/>
      <c r="G2" s="1383"/>
      <c r="H2" s="1383"/>
      <c r="I2" s="1383"/>
      <c r="J2" s="1383"/>
      <c r="K2" s="1383"/>
      <c r="L2" s="1383"/>
      <c r="M2" s="1383"/>
      <c r="N2" s="1383"/>
      <c r="O2" s="785" t="str">
        <f>IF(COUNTIF(Q7:Q14,"×")&gt;=1,"未入力あり","入力済")</f>
        <v>入力済</v>
      </c>
      <c r="P2" s="1278"/>
      <c r="Q2" s="1278"/>
      <c r="R2" s="83"/>
    </row>
    <row r="3" spans="1:19" ht="5.0999999999999996" customHeight="1">
      <c r="A3" s="437"/>
      <c r="B3" s="437"/>
      <c r="C3" s="437"/>
      <c r="D3" s="437"/>
      <c r="E3" s="437"/>
      <c r="F3" s="437"/>
      <c r="G3" s="437"/>
      <c r="H3" s="437"/>
      <c r="I3" s="437"/>
      <c r="J3" s="437"/>
      <c r="K3" s="437"/>
      <c r="L3" s="437"/>
      <c r="M3" s="437"/>
      <c r="N3" s="437"/>
      <c r="O3" s="463"/>
      <c r="P3" s="1278"/>
      <c r="Q3" s="1278"/>
    </row>
    <row r="4" spans="1:19" ht="20.25" customHeight="1">
      <c r="A4" s="437"/>
      <c r="B4" s="437"/>
      <c r="C4" s="437"/>
      <c r="D4" s="437"/>
      <c r="E4" s="437"/>
      <c r="F4" s="763" t="s">
        <v>725</v>
      </c>
      <c r="G4" s="1724" t="str">
        <f>表紙!E2</f>
        <v>医療法人徳洲会　松原徳洲会病院</v>
      </c>
      <c r="H4" s="1725"/>
      <c r="I4" s="1725"/>
      <c r="J4" s="1725"/>
      <c r="K4" s="1725"/>
      <c r="L4" s="1725"/>
      <c r="M4" s="1725"/>
      <c r="N4" s="1725"/>
      <c r="O4" s="1726"/>
      <c r="P4" s="1278"/>
      <c r="Q4" s="1278"/>
      <c r="R4" s="83"/>
    </row>
    <row r="5" spans="1:19" ht="15.75" customHeight="1">
      <c r="A5" s="437"/>
      <c r="B5" s="437"/>
      <c r="C5" s="437"/>
      <c r="D5" s="437"/>
      <c r="E5" s="437"/>
      <c r="F5" s="763"/>
      <c r="L5" s="51"/>
      <c r="M5" s="51"/>
      <c r="N5" s="611"/>
      <c r="O5" s="783" t="str">
        <f>別紙1未充足要件!E5</f>
        <v>令和７年９月１日時点</v>
      </c>
      <c r="P5" s="1278"/>
      <c r="Q5" s="1278"/>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7" t="s">
        <v>1169</v>
      </c>
      <c r="C7" s="1728"/>
      <c r="D7" s="1728"/>
      <c r="E7" s="1728"/>
      <c r="F7" s="1728"/>
      <c r="G7" s="1728"/>
      <c r="H7" s="1729"/>
      <c r="I7" s="1523" t="s">
        <v>1777</v>
      </c>
      <c r="J7" s="1524"/>
      <c r="K7" s="1524"/>
      <c r="L7" s="1524"/>
      <c r="M7" s="1525"/>
      <c r="N7" s="51"/>
      <c r="O7" s="51"/>
      <c r="P7" s="51"/>
      <c r="Q7" s="437" t="str">
        <f>IF(I7="","×","○")</f>
        <v>○</v>
      </c>
      <c r="S7" s="125"/>
    </row>
    <row r="8" spans="1:19" ht="39" customHeight="1" thickBot="1">
      <c r="A8" s="443">
        <v>2</v>
      </c>
      <c r="B8" s="1727" t="s">
        <v>1170</v>
      </c>
      <c r="C8" s="1733"/>
      <c r="D8" s="1733"/>
      <c r="E8" s="1733"/>
      <c r="F8" s="1733"/>
      <c r="G8" s="1733"/>
      <c r="H8" s="1734"/>
      <c r="I8" s="1523" t="s">
        <v>1777</v>
      </c>
      <c r="J8" s="1524"/>
      <c r="K8" s="1524"/>
      <c r="L8" s="1524"/>
      <c r="M8" s="1525"/>
      <c r="N8" s="51"/>
      <c r="O8" s="51"/>
      <c r="P8" s="51"/>
      <c r="Q8" s="437" t="str">
        <f t="shared" ref="Q8:Q14" si="0">IF(I8="","×","○")</f>
        <v>○</v>
      </c>
      <c r="S8" s="125"/>
    </row>
    <row r="9" spans="1:19" ht="39" customHeight="1" thickBot="1">
      <c r="A9" s="443">
        <v>3</v>
      </c>
      <c r="B9" s="1727" t="s">
        <v>1171</v>
      </c>
      <c r="C9" s="1735"/>
      <c r="D9" s="1735"/>
      <c r="E9" s="1735"/>
      <c r="F9" s="1735"/>
      <c r="G9" s="1735"/>
      <c r="H9" s="1736"/>
      <c r="I9" s="1523" t="s">
        <v>1777</v>
      </c>
      <c r="J9" s="1524"/>
      <c r="K9" s="1524"/>
      <c r="L9" s="1524"/>
      <c r="M9" s="1525"/>
      <c r="N9" s="51"/>
      <c r="O9" s="51"/>
      <c r="P9" s="51"/>
      <c r="Q9" s="437" t="str">
        <f t="shared" si="0"/>
        <v>○</v>
      </c>
      <c r="S9" s="125"/>
    </row>
    <row r="10" spans="1:19" ht="39" customHeight="1" thickBot="1">
      <c r="A10" s="443">
        <v>4</v>
      </c>
      <c r="B10" s="1727" t="s">
        <v>1172</v>
      </c>
      <c r="C10" s="1728"/>
      <c r="D10" s="1728"/>
      <c r="E10" s="1728"/>
      <c r="F10" s="1728"/>
      <c r="G10" s="1728"/>
      <c r="H10" s="1729"/>
      <c r="I10" s="1523" t="s">
        <v>1777</v>
      </c>
      <c r="J10" s="1524"/>
      <c r="K10" s="1524"/>
      <c r="L10" s="1524"/>
      <c r="M10" s="1525"/>
      <c r="N10" s="51"/>
      <c r="O10" s="51"/>
      <c r="P10" s="51"/>
      <c r="Q10" s="437" t="str">
        <f t="shared" si="0"/>
        <v>○</v>
      </c>
      <c r="S10" s="125"/>
    </row>
    <row r="11" spans="1:19" ht="39" customHeight="1" thickBot="1">
      <c r="A11" s="443">
        <v>5</v>
      </c>
      <c r="B11" s="1727" t="s">
        <v>1173</v>
      </c>
      <c r="C11" s="1728"/>
      <c r="D11" s="1728"/>
      <c r="E11" s="1728"/>
      <c r="F11" s="1728"/>
      <c r="G11" s="1728"/>
      <c r="H11" s="1729"/>
      <c r="I11" s="1523" t="s">
        <v>1776</v>
      </c>
      <c r="J11" s="1524"/>
      <c r="K11" s="1524"/>
      <c r="L11" s="1524"/>
      <c r="M11" s="1525"/>
      <c r="N11" s="51"/>
      <c r="O11" s="51"/>
      <c r="P11" s="51"/>
      <c r="Q11" s="437" t="str">
        <f t="shared" si="0"/>
        <v>○</v>
      </c>
      <c r="S11" s="125"/>
    </row>
    <row r="12" spans="1:19" ht="39" customHeight="1" thickBot="1">
      <c r="A12" s="510">
        <v>6</v>
      </c>
      <c r="B12" s="1730" t="s">
        <v>1174</v>
      </c>
      <c r="C12" s="1731"/>
      <c r="D12" s="1731"/>
      <c r="E12" s="1731"/>
      <c r="F12" s="1731"/>
      <c r="G12" s="1731"/>
      <c r="H12" s="1732"/>
      <c r="I12" s="1523" t="s">
        <v>1777</v>
      </c>
      <c r="J12" s="1524"/>
      <c r="K12" s="1524"/>
      <c r="L12" s="1524"/>
      <c r="M12" s="1525"/>
      <c r="N12" s="51"/>
      <c r="O12" s="51"/>
      <c r="P12" s="51"/>
      <c r="Q12" s="437" t="str">
        <f t="shared" si="0"/>
        <v>○</v>
      </c>
      <c r="S12" s="125"/>
    </row>
    <row r="13" spans="1:19" ht="39" customHeight="1" thickBot="1">
      <c r="A13" s="443">
        <v>7</v>
      </c>
      <c r="B13" s="1727" t="s">
        <v>1175</v>
      </c>
      <c r="C13" s="1728"/>
      <c r="D13" s="1728"/>
      <c r="E13" s="1728"/>
      <c r="F13" s="1728"/>
      <c r="G13" s="1728"/>
      <c r="H13" s="1729"/>
      <c r="I13" s="1523" t="s">
        <v>1776</v>
      </c>
      <c r="J13" s="1524"/>
      <c r="K13" s="1524"/>
      <c r="L13" s="1524"/>
      <c r="M13" s="1525"/>
      <c r="N13" s="51"/>
      <c r="O13" s="51"/>
      <c r="P13" s="51"/>
      <c r="Q13" s="437" t="str">
        <f t="shared" si="0"/>
        <v>○</v>
      </c>
      <c r="S13" s="125"/>
    </row>
    <row r="14" spans="1:19" ht="39" customHeight="1" thickBot="1">
      <c r="A14" s="510">
        <v>8</v>
      </c>
      <c r="B14" s="1730" t="s">
        <v>1176</v>
      </c>
      <c r="C14" s="1731"/>
      <c r="D14" s="1731"/>
      <c r="E14" s="1731"/>
      <c r="F14" s="1731"/>
      <c r="G14" s="1731"/>
      <c r="H14" s="1732"/>
      <c r="I14" s="1523" t="s">
        <v>1776</v>
      </c>
      <c r="J14" s="1524"/>
      <c r="K14" s="1524"/>
      <c r="L14" s="1524"/>
      <c r="M14" s="1525"/>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19" zoomScaleNormal="100" zoomScaleSheetLayoutView="100" workbookViewId="0">
      <selection activeCell="I37" sqref="I37"/>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6" t="s">
        <v>1177</v>
      </c>
      <c r="B1" s="1776"/>
      <c r="C1" s="1776"/>
      <c r="D1" s="1776"/>
      <c r="E1" s="1776"/>
      <c r="F1" s="1776"/>
      <c r="G1" s="1776"/>
      <c r="H1" s="1776"/>
      <c r="I1" s="1776"/>
      <c r="L1" s="83"/>
    </row>
    <row r="2" spans="1:13" ht="24.95" customHeight="1" thickTop="1" thickBot="1">
      <c r="A2" s="1272" t="s">
        <v>832</v>
      </c>
      <c r="B2" s="1272"/>
      <c r="C2" s="1272"/>
      <c r="D2" s="1272"/>
      <c r="E2" s="1272"/>
      <c r="F2" s="1272"/>
      <c r="G2" s="1272"/>
      <c r="H2" s="1272"/>
      <c r="I2" s="388" t="str">
        <f>IF(COUNTIF(K6:K33,"×")&gt;=1,"未入力あり","入力済")</f>
        <v>入力済</v>
      </c>
      <c r="J2" s="1753"/>
      <c r="K2" s="389"/>
      <c r="L2" s="83"/>
    </row>
    <row r="3" spans="1:13" ht="15" thickTop="1">
      <c r="A3" s="786"/>
      <c r="B3" s="786"/>
      <c r="C3" s="786"/>
      <c r="D3" s="786"/>
      <c r="E3" s="786"/>
      <c r="F3" s="786"/>
      <c r="G3" s="786"/>
      <c r="H3" s="786"/>
      <c r="I3" s="787"/>
      <c r="J3" s="1753"/>
      <c r="K3" s="389"/>
      <c r="L3" s="83"/>
    </row>
    <row r="4" spans="1:13" s="790" customFormat="1" ht="20.100000000000001" customHeight="1">
      <c r="A4" s="788"/>
      <c r="B4" s="788"/>
      <c r="C4" s="788"/>
      <c r="D4" s="788"/>
      <c r="E4" s="788"/>
      <c r="F4" s="789" t="s">
        <v>1178</v>
      </c>
      <c r="G4" s="1777" t="str">
        <f>表紙!E2</f>
        <v>医療法人徳洲会　松原徳洲会病院</v>
      </c>
      <c r="H4" s="1778"/>
      <c r="I4" s="1779"/>
      <c r="J4" s="1753"/>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1777</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80" t="s">
        <v>1181</v>
      </c>
      <c r="D8" s="1780"/>
      <c r="E8" s="1780"/>
      <c r="F8" s="1780"/>
      <c r="G8" s="1780"/>
      <c r="H8" s="1780"/>
      <c r="I8" s="1780"/>
      <c r="M8" s="74"/>
    </row>
    <row r="9" spans="1:13" ht="50.25" customHeight="1">
      <c r="A9" s="794"/>
      <c r="B9" s="794"/>
      <c r="C9" s="1761" t="s">
        <v>1182</v>
      </c>
      <c r="D9" s="1761"/>
      <c r="E9" s="1761"/>
      <c r="F9" s="1761"/>
      <c r="G9" s="1761"/>
      <c r="H9" s="1761"/>
      <c r="I9" s="1761"/>
      <c r="M9" s="74"/>
    </row>
    <row r="10" spans="1:13" ht="25.5" customHeight="1">
      <c r="A10" s="794"/>
      <c r="B10" s="794"/>
      <c r="C10" s="1761" t="s">
        <v>1183</v>
      </c>
      <c r="D10" s="1761"/>
      <c r="E10" s="1761"/>
      <c r="F10" s="1761"/>
      <c r="G10" s="1761"/>
      <c r="H10" s="1761"/>
      <c r="I10" s="1761"/>
      <c r="M10" s="74"/>
    </row>
    <row r="11" spans="1:13" ht="30" customHeight="1">
      <c r="A11" s="794"/>
      <c r="B11" s="794"/>
      <c r="C11" s="1775" t="s">
        <v>1184</v>
      </c>
      <c r="D11" s="1775"/>
      <c r="E11" s="1775"/>
      <c r="F11" s="1775"/>
      <c r="G11" s="1775"/>
      <c r="H11" s="1775"/>
      <c r="I11" s="1775"/>
      <c r="M11" s="74"/>
    </row>
    <row r="12" spans="1:13" ht="18" customHeight="1">
      <c r="A12" s="1754"/>
      <c r="B12" s="1755"/>
      <c r="C12" s="1766" t="s">
        <v>1185</v>
      </c>
      <c r="D12" s="1768" t="s">
        <v>1139</v>
      </c>
      <c r="E12" s="1770" t="s">
        <v>1012</v>
      </c>
      <c r="F12" s="1772" t="s">
        <v>1186</v>
      </c>
      <c r="G12" s="1773"/>
      <c r="H12" s="1773"/>
      <c r="I12" s="1774"/>
      <c r="M12" s="74"/>
    </row>
    <row r="13" spans="1:13" ht="18" customHeight="1" thickBot="1">
      <c r="A13" s="1756"/>
      <c r="B13" s="1757"/>
      <c r="C13" s="1767"/>
      <c r="D13" s="1769"/>
      <c r="E13" s="1771"/>
      <c r="F13" s="1764" t="s">
        <v>1187</v>
      </c>
      <c r="G13" s="1765"/>
      <c r="H13" s="795" t="s">
        <v>1188</v>
      </c>
      <c r="I13" s="796" t="s">
        <v>1189</v>
      </c>
      <c r="M13" s="74"/>
    </row>
    <row r="14" spans="1:13" ht="27" customHeight="1" thickBot="1">
      <c r="A14" s="401">
        <v>1</v>
      </c>
      <c r="B14" s="797" t="s">
        <v>1190</v>
      </c>
      <c r="C14" s="103" t="s">
        <v>239</v>
      </c>
      <c r="D14" s="43" t="s">
        <v>1825</v>
      </c>
      <c r="E14" s="45" t="s">
        <v>1874</v>
      </c>
      <c r="F14" s="1740" t="s">
        <v>1875</v>
      </c>
      <c r="G14" s="1741"/>
      <c r="H14" s="107" t="s">
        <v>1876</v>
      </c>
      <c r="I14" s="1203">
        <v>43729</v>
      </c>
      <c r="J14" s="291"/>
      <c r="K14" s="49" t="str">
        <f>IF(AND(H6="はい",OR(C14="",D14="",E14="",F14="",H14="",I14="")),"×","○")</f>
        <v>○</v>
      </c>
      <c r="M14" s="74"/>
    </row>
    <row r="15" spans="1:13" ht="27" customHeight="1" thickBot="1">
      <c r="A15" s="401">
        <v>2</v>
      </c>
      <c r="B15" s="1758"/>
      <c r="C15" s="103" t="s">
        <v>239</v>
      </c>
      <c r="D15" s="43" t="s">
        <v>1825</v>
      </c>
      <c r="E15" s="45" t="s">
        <v>1874</v>
      </c>
      <c r="F15" s="1740" t="s">
        <v>1875</v>
      </c>
      <c r="G15" s="1741"/>
      <c r="H15" s="107" t="s">
        <v>1876</v>
      </c>
      <c r="I15" s="1203">
        <v>44177</v>
      </c>
      <c r="M15" s="74"/>
    </row>
    <row r="16" spans="1:13" ht="27" customHeight="1" thickBot="1">
      <c r="A16" s="401">
        <v>3</v>
      </c>
      <c r="B16" s="1759"/>
      <c r="C16" s="103" t="s">
        <v>1877</v>
      </c>
      <c r="D16" s="43" t="s">
        <v>1825</v>
      </c>
      <c r="E16" s="45" t="s">
        <v>1874</v>
      </c>
      <c r="F16" s="1740" t="s">
        <v>1875</v>
      </c>
      <c r="G16" s="1741"/>
      <c r="H16" s="107" t="s">
        <v>1876</v>
      </c>
      <c r="I16" s="1203">
        <v>42266</v>
      </c>
      <c r="M16" s="74"/>
    </row>
    <row r="17" spans="1:13" ht="27" customHeight="1" thickBot="1">
      <c r="A17" s="401">
        <v>4</v>
      </c>
      <c r="B17" s="1759"/>
      <c r="C17" s="103" t="s">
        <v>1021</v>
      </c>
      <c r="D17" s="43" t="s">
        <v>1825</v>
      </c>
      <c r="E17" s="45" t="s">
        <v>1874</v>
      </c>
      <c r="F17" s="1740" t="s">
        <v>1875</v>
      </c>
      <c r="G17" s="1741"/>
      <c r="H17" s="107" t="s">
        <v>1876</v>
      </c>
      <c r="I17" s="1203">
        <v>42266</v>
      </c>
      <c r="M17" s="74"/>
    </row>
    <row r="18" spans="1:13" ht="27" customHeight="1" thickBot="1">
      <c r="A18" s="401">
        <v>5</v>
      </c>
      <c r="B18" s="1759"/>
      <c r="C18" s="103" t="s">
        <v>1021</v>
      </c>
      <c r="D18" s="43" t="s">
        <v>1825</v>
      </c>
      <c r="E18" s="45" t="s">
        <v>1874</v>
      </c>
      <c r="F18" s="1740" t="s">
        <v>1875</v>
      </c>
      <c r="G18" s="1741"/>
      <c r="H18" s="107" t="s">
        <v>1876</v>
      </c>
      <c r="I18" s="1203">
        <v>43036</v>
      </c>
      <c r="M18" s="74"/>
    </row>
    <row r="19" spans="1:13" ht="27" customHeight="1" thickBot="1">
      <c r="A19" s="401">
        <v>6</v>
      </c>
      <c r="B19" s="1759"/>
      <c r="C19" s="103" t="s">
        <v>1023</v>
      </c>
      <c r="D19" s="43" t="s">
        <v>1825</v>
      </c>
      <c r="E19" s="45" t="s">
        <v>1878</v>
      </c>
      <c r="F19" s="1740" t="s">
        <v>1875</v>
      </c>
      <c r="G19" s="1741"/>
      <c r="H19" s="107" t="s">
        <v>1876</v>
      </c>
      <c r="I19" s="1203">
        <v>43036</v>
      </c>
      <c r="M19" s="74"/>
    </row>
    <row r="20" spans="1:13" ht="27" customHeight="1" thickBot="1">
      <c r="A20" s="401">
        <v>7</v>
      </c>
      <c r="B20" s="1759"/>
      <c r="C20" s="103" t="s">
        <v>1023</v>
      </c>
      <c r="D20" s="43" t="s">
        <v>1825</v>
      </c>
      <c r="E20" s="45" t="s">
        <v>1879</v>
      </c>
      <c r="F20" s="1740" t="s">
        <v>1875</v>
      </c>
      <c r="G20" s="1741"/>
      <c r="H20" s="107" t="s">
        <v>1880</v>
      </c>
      <c r="I20" s="1203">
        <v>39052</v>
      </c>
      <c r="M20" s="74"/>
    </row>
    <row r="21" spans="1:13" ht="27" customHeight="1" thickBot="1">
      <c r="A21" s="401">
        <v>8</v>
      </c>
      <c r="B21" s="1759"/>
      <c r="C21" s="103"/>
      <c r="D21" s="43"/>
      <c r="E21" s="45"/>
      <c r="F21" s="1740"/>
      <c r="G21" s="1741"/>
      <c r="H21" s="107"/>
      <c r="I21" s="109"/>
      <c r="M21" s="74"/>
    </row>
    <row r="22" spans="1:13" ht="27" customHeight="1" thickBot="1">
      <c r="A22" s="401">
        <v>9</v>
      </c>
      <c r="B22" s="1759"/>
      <c r="C22" s="103"/>
      <c r="D22" s="43"/>
      <c r="E22" s="45"/>
      <c r="F22" s="1740"/>
      <c r="G22" s="1741"/>
      <c r="H22" s="107"/>
      <c r="I22" s="109"/>
      <c r="M22" s="74"/>
    </row>
    <row r="23" spans="1:13" ht="27" customHeight="1" thickBot="1">
      <c r="A23" s="401">
        <v>10</v>
      </c>
      <c r="B23" s="1760"/>
      <c r="C23" s="103"/>
      <c r="D23" s="43"/>
      <c r="E23" s="45"/>
      <c r="F23" s="1740"/>
      <c r="G23" s="1741"/>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2" t="s">
        <v>1191</v>
      </c>
      <c r="B26" s="1743"/>
      <c r="C26" s="1743"/>
      <c r="D26" s="1743"/>
      <c r="E26" s="1743"/>
      <c r="F26" s="1743"/>
      <c r="G26" s="1743"/>
      <c r="H26" s="1743"/>
      <c r="I26" s="49"/>
      <c r="L26" s="798"/>
      <c r="M26" s="138"/>
    </row>
    <row r="27" spans="1:13">
      <c r="A27" s="49"/>
      <c r="B27" s="49"/>
      <c r="C27" s="49"/>
      <c r="D27" s="49"/>
      <c r="E27" s="49"/>
      <c r="F27" s="49"/>
      <c r="G27" s="49"/>
      <c r="H27" s="49"/>
      <c r="I27" s="49"/>
      <c r="L27" s="798"/>
      <c r="M27" s="74"/>
    </row>
    <row r="28" spans="1:13">
      <c r="A28" s="1749"/>
      <c r="B28" s="1749" t="s">
        <v>1192</v>
      </c>
      <c r="C28" s="1749"/>
      <c r="D28" s="1749"/>
      <c r="E28" s="1749"/>
      <c r="F28" s="1749" t="s">
        <v>1193</v>
      </c>
      <c r="G28" s="1749"/>
      <c r="H28" s="1749"/>
      <c r="I28" s="1762" t="s">
        <v>1194</v>
      </c>
      <c r="J28" s="799"/>
      <c r="L28" s="798"/>
      <c r="M28" s="74"/>
    </row>
    <row r="29" spans="1:13">
      <c r="A29" s="1749"/>
      <c r="B29" s="1749"/>
      <c r="C29" s="1749"/>
      <c r="D29" s="1749"/>
      <c r="E29" s="1749"/>
      <c r="F29" s="1749"/>
      <c r="G29" s="1749"/>
      <c r="H29" s="1749"/>
      <c r="I29" s="1763"/>
      <c r="J29" s="799"/>
      <c r="L29" s="798"/>
      <c r="M29" s="74"/>
    </row>
    <row r="30" spans="1:13" ht="33" customHeight="1">
      <c r="A30" s="57" t="s">
        <v>729</v>
      </c>
      <c r="B30" s="1751" t="s">
        <v>1195</v>
      </c>
      <c r="C30" s="1752"/>
      <c r="D30" s="1752"/>
      <c r="E30" s="1752"/>
      <c r="F30" s="1737" t="s">
        <v>1196</v>
      </c>
      <c r="G30" s="1738"/>
      <c r="H30" s="1739"/>
      <c r="I30" s="800" t="s">
        <v>1197</v>
      </c>
      <c r="J30" s="799"/>
      <c r="L30" s="798"/>
      <c r="M30" s="74"/>
    </row>
    <row r="31" spans="1:13" ht="33" customHeight="1">
      <c r="A31" s="57" t="s">
        <v>729</v>
      </c>
      <c r="B31" s="1750" t="s">
        <v>1198</v>
      </c>
      <c r="C31" s="1738"/>
      <c r="D31" s="1738"/>
      <c r="E31" s="1739"/>
      <c r="F31" s="1737" t="s">
        <v>1199</v>
      </c>
      <c r="G31" s="1738"/>
      <c r="H31" s="1739"/>
      <c r="I31" s="800" t="s">
        <v>1200</v>
      </c>
      <c r="J31" s="799"/>
      <c r="L31" s="798"/>
      <c r="M31" s="74"/>
    </row>
    <row r="32" spans="1:13" ht="33" customHeight="1">
      <c r="A32" s="57" t="s">
        <v>729</v>
      </c>
      <c r="B32" s="1751" t="s">
        <v>1201</v>
      </c>
      <c r="C32" s="1752"/>
      <c r="D32" s="1752"/>
      <c r="E32" s="1752"/>
      <c r="F32" s="1737" t="s">
        <v>1202</v>
      </c>
      <c r="G32" s="1738"/>
      <c r="H32" s="1739"/>
      <c r="I32" s="800" t="s">
        <v>1200</v>
      </c>
      <c r="J32" s="799"/>
      <c r="L32" s="798"/>
      <c r="M32" s="74"/>
    </row>
    <row r="33" spans="1:13" ht="33" customHeight="1">
      <c r="A33" s="801">
        <v>1</v>
      </c>
      <c r="B33" s="1744" t="s">
        <v>1881</v>
      </c>
      <c r="C33" s="1745"/>
      <c r="D33" s="1745"/>
      <c r="E33" s="1746"/>
      <c r="F33" s="1747">
        <v>44797</v>
      </c>
      <c r="G33" s="1748"/>
      <c r="H33" s="1748"/>
      <c r="I33" s="1204">
        <v>46582</v>
      </c>
      <c r="J33" s="799"/>
      <c r="K33" s="49" t="str">
        <f>IF(AND(B33&lt;&gt;"",F33&lt;&gt;"",I33&lt;&gt;""),"○","×")</f>
        <v>○</v>
      </c>
      <c r="L33" s="798"/>
      <c r="M33" s="125"/>
    </row>
    <row r="34" spans="1:13" ht="33" customHeight="1">
      <c r="A34" s="801">
        <v>2</v>
      </c>
      <c r="B34" s="1744" t="s">
        <v>1882</v>
      </c>
      <c r="C34" s="1745"/>
      <c r="D34" s="1745"/>
      <c r="E34" s="1746"/>
      <c r="F34" s="1747">
        <v>45973</v>
      </c>
      <c r="G34" s="1748"/>
      <c r="H34" s="1748"/>
      <c r="I34" s="108"/>
      <c r="J34" s="799"/>
      <c r="K34" s="51"/>
      <c r="L34" s="798"/>
      <c r="M34" s="74"/>
    </row>
    <row r="35" spans="1:13" ht="33" customHeight="1">
      <c r="A35" s="801">
        <v>3</v>
      </c>
      <c r="B35" s="1744" t="s">
        <v>1883</v>
      </c>
      <c r="C35" s="1745"/>
      <c r="D35" s="1745"/>
      <c r="E35" s="1746"/>
      <c r="F35" s="1747">
        <v>45575</v>
      </c>
      <c r="G35" s="1748"/>
      <c r="H35" s="1748"/>
      <c r="I35" s="108"/>
      <c r="J35" s="799"/>
      <c r="K35" s="51"/>
      <c r="L35" s="798"/>
      <c r="M35" s="74"/>
    </row>
    <row r="36" spans="1:13" ht="33" customHeight="1">
      <c r="A36" s="801">
        <v>4</v>
      </c>
      <c r="B36" s="1744" t="s">
        <v>1884</v>
      </c>
      <c r="C36" s="1745"/>
      <c r="D36" s="1745"/>
      <c r="E36" s="1746"/>
      <c r="F36" s="1747">
        <v>45951</v>
      </c>
      <c r="G36" s="1748"/>
      <c r="H36" s="1748"/>
      <c r="I36" s="108"/>
      <c r="J36" s="799"/>
      <c r="K36" s="51"/>
      <c r="L36" s="798"/>
      <c r="M36" s="74"/>
    </row>
    <row r="37" spans="1:13" ht="33" customHeight="1">
      <c r="A37" s="801">
        <v>5</v>
      </c>
      <c r="B37" s="1744" t="s">
        <v>1885</v>
      </c>
      <c r="C37" s="1745"/>
      <c r="D37" s="1745"/>
      <c r="E37" s="1746"/>
      <c r="F37" s="1747">
        <v>44987</v>
      </c>
      <c r="G37" s="1748"/>
      <c r="H37" s="1748"/>
      <c r="I37" s="1204">
        <v>46173</v>
      </c>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17" sqref="C1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4" t="s">
        <v>1204</v>
      </c>
      <c r="B1" s="1784"/>
      <c r="C1" s="1784"/>
      <c r="D1" s="1784"/>
      <c r="E1" s="1784"/>
      <c r="F1" s="1784"/>
      <c r="G1" s="1784"/>
      <c r="H1" s="1784"/>
      <c r="I1" s="1784"/>
      <c r="J1" s="1784"/>
    </row>
    <row r="2" spans="1:21" ht="24.95" customHeight="1" thickBot="1">
      <c r="B2" s="1272" t="s">
        <v>1205</v>
      </c>
      <c r="C2" s="1272"/>
      <c r="D2" s="1272"/>
      <c r="E2" s="1272"/>
      <c r="F2" s="1272"/>
      <c r="G2" s="1272"/>
      <c r="H2" s="1272"/>
      <c r="I2" s="807" t="str">
        <f>IF(COUNTIF(K32:K36,"×")=0,"入力済","未入力あり")</f>
        <v>入力済</v>
      </c>
      <c r="M2" s="139" t="s">
        <v>204</v>
      </c>
    </row>
    <row r="3" spans="1:21" ht="24.95" customHeight="1">
      <c r="B3" s="1785"/>
      <c r="C3" s="1785"/>
      <c r="D3" s="1785"/>
      <c r="E3" s="1785"/>
      <c r="F3" s="1785"/>
      <c r="G3" s="1785"/>
      <c r="H3" s="1785"/>
      <c r="I3" s="387"/>
      <c r="M3" s="74"/>
    </row>
    <row r="4" spans="1:21" ht="24.95" customHeight="1">
      <c r="G4" s="806" t="s">
        <v>725</v>
      </c>
      <c r="H4" s="1273" t="str">
        <f>表紙!E2</f>
        <v>医療法人徳洲会　松原徳洲会病院</v>
      </c>
      <c r="I4" s="1274"/>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86" t="s">
        <v>1206</v>
      </c>
      <c r="B8" s="1786"/>
      <c r="C8" s="1786"/>
      <c r="D8" s="1786"/>
      <c r="E8" s="1786"/>
      <c r="F8" s="1786"/>
      <c r="G8" s="1786"/>
      <c r="H8" s="1786"/>
      <c r="I8" s="1786"/>
      <c r="J8" s="1786"/>
      <c r="M8" s="116"/>
    </row>
    <row r="9" spans="1:21" ht="20.100000000000001" customHeight="1">
      <c r="A9" s="1786" t="s">
        <v>1207</v>
      </c>
      <c r="B9" s="1786"/>
      <c r="C9" s="1786"/>
      <c r="D9" s="1786"/>
      <c r="E9" s="1786"/>
      <c r="F9" s="1786"/>
      <c r="G9" s="1786"/>
      <c r="H9" s="1786"/>
      <c r="I9" s="1786"/>
      <c r="J9" s="1786"/>
      <c r="M9" s="74"/>
    </row>
    <row r="10" spans="1:21" ht="20.100000000000001" customHeight="1">
      <c r="A10" s="1"/>
      <c r="B10" s="1"/>
      <c r="C10" s="1"/>
      <c r="D10" s="1"/>
      <c r="E10" s="1"/>
      <c r="F10" s="1"/>
      <c r="G10" s="1"/>
      <c r="H10" s="1"/>
      <c r="I10" s="1"/>
      <c r="J10" s="1"/>
      <c r="M10" s="74"/>
    </row>
    <row r="11" spans="1:21" s="507" customFormat="1" ht="25.5" customHeight="1">
      <c r="A11" s="1787" t="s">
        <v>1208</v>
      </c>
      <c r="B11" s="1787"/>
      <c r="C11" s="1787"/>
      <c r="D11" s="1787"/>
      <c r="E11" s="1787"/>
      <c r="F11" s="1787"/>
      <c r="G11" s="1787"/>
      <c r="H11" s="1787"/>
      <c r="I11" s="1787"/>
      <c r="J11" s="1787"/>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6" t="s">
        <v>1210</v>
      </c>
      <c r="C13" s="1786"/>
      <c r="D13" s="1786"/>
      <c r="E13" s="1786"/>
      <c r="F13" s="1786"/>
      <c r="G13" s="1786"/>
      <c r="H13" s="1786"/>
      <c r="I13" s="1786"/>
      <c r="J13" s="1786"/>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88" t="s">
        <v>1211</v>
      </c>
      <c r="F15" s="1789"/>
      <c r="G15" s="1789"/>
      <c r="H15" s="1789"/>
      <c r="I15" s="1790"/>
      <c r="K15" s="811"/>
      <c r="L15" s="808"/>
      <c r="M15" s="74"/>
      <c r="N15" s="808"/>
      <c r="O15" s="808"/>
      <c r="P15" s="808"/>
      <c r="Q15" s="808"/>
      <c r="R15" s="808"/>
      <c r="S15" s="808"/>
      <c r="T15" s="808"/>
      <c r="U15" s="808"/>
    </row>
    <row r="16" spans="1:21" s="507" customFormat="1" ht="27.95" customHeight="1">
      <c r="B16" s="804" t="s">
        <v>729</v>
      </c>
      <c r="C16" s="812" t="s">
        <v>1212</v>
      </c>
      <c r="D16" s="813">
        <v>2</v>
      </c>
      <c r="E16" s="1791" t="s">
        <v>1213</v>
      </c>
      <c r="F16" s="1792"/>
      <c r="G16" s="1792"/>
      <c r="H16" s="1792"/>
      <c r="I16" s="1793"/>
      <c r="K16" s="808"/>
      <c r="L16" s="808"/>
      <c r="M16" s="74"/>
      <c r="N16" s="808"/>
      <c r="O16" s="808"/>
      <c r="P16" s="808"/>
      <c r="Q16" s="808"/>
      <c r="R16" s="808"/>
      <c r="S16" s="808"/>
      <c r="T16" s="808"/>
      <c r="U16" s="808"/>
    </row>
    <row r="17" spans="1:21" s="507" customFormat="1" ht="27.95" customHeight="1">
      <c r="B17" s="804">
        <v>1</v>
      </c>
      <c r="C17" s="96" t="s">
        <v>1886</v>
      </c>
      <c r="D17" s="805">
        <v>3</v>
      </c>
      <c r="E17" s="1794"/>
      <c r="F17" s="1795"/>
      <c r="G17" s="1795"/>
      <c r="H17" s="1795"/>
      <c r="I17" s="1796"/>
      <c r="K17" s="808"/>
      <c r="L17" s="808"/>
      <c r="M17" s="74"/>
      <c r="N17" s="333">
        <v>0</v>
      </c>
      <c r="O17" s="334">
        <v>20</v>
      </c>
      <c r="P17" s="808"/>
      <c r="Q17" s="808"/>
      <c r="R17" s="808"/>
      <c r="S17" s="808"/>
      <c r="T17" s="808"/>
      <c r="U17" s="808"/>
    </row>
    <row r="18" spans="1:21" s="507" customFormat="1" ht="27.95" customHeight="1">
      <c r="B18" s="804">
        <v>2</v>
      </c>
      <c r="C18" s="86" t="s">
        <v>1887</v>
      </c>
      <c r="D18" s="805">
        <v>2</v>
      </c>
      <c r="E18" s="1781"/>
      <c r="F18" s="1782"/>
      <c r="G18" s="1782"/>
      <c r="H18" s="1782"/>
      <c r="I18" s="1783"/>
      <c r="K18" s="808"/>
      <c r="L18" s="808"/>
      <c r="M18" s="74"/>
      <c r="N18" s="333">
        <v>0</v>
      </c>
      <c r="O18" s="334">
        <v>20</v>
      </c>
      <c r="P18" s="808"/>
      <c r="Q18" s="808"/>
      <c r="R18" s="808"/>
      <c r="S18" s="808"/>
      <c r="T18" s="808"/>
      <c r="U18" s="808"/>
    </row>
    <row r="19" spans="1:21" s="507" customFormat="1" ht="27.95" customHeight="1">
      <c r="B19" s="814">
        <v>3</v>
      </c>
      <c r="C19" s="86"/>
      <c r="D19" s="805"/>
      <c r="E19" s="1799"/>
      <c r="F19" s="1795"/>
      <c r="G19" s="1795"/>
      <c r="H19" s="1795"/>
      <c r="I19" s="1796"/>
      <c r="K19" s="811"/>
      <c r="L19" s="808"/>
      <c r="M19" s="74"/>
      <c r="N19" s="333">
        <v>0</v>
      </c>
      <c r="O19" s="334">
        <v>20</v>
      </c>
      <c r="P19" s="808"/>
      <c r="Q19" s="808"/>
      <c r="R19" s="808"/>
      <c r="S19" s="808"/>
      <c r="T19" s="808"/>
      <c r="U19" s="808"/>
    </row>
    <row r="20" spans="1:21" s="507" customFormat="1" ht="27.95" customHeight="1">
      <c r="B20" s="804">
        <v>4</v>
      </c>
      <c r="C20" s="86"/>
      <c r="D20" s="805"/>
      <c r="E20" s="1799"/>
      <c r="F20" s="1795"/>
      <c r="G20" s="1795"/>
      <c r="H20" s="1795"/>
      <c r="I20" s="1796"/>
      <c r="K20" s="808"/>
      <c r="L20" s="808"/>
      <c r="M20" s="74"/>
      <c r="N20" s="333">
        <v>0</v>
      </c>
      <c r="O20" s="334">
        <v>20</v>
      </c>
      <c r="P20" s="808"/>
      <c r="Q20" s="808"/>
      <c r="R20" s="808"/>
      <c r="S20" s="808"/>
      <c r="T20" s="808"/>
      <c r="U20" s="808"/>
    </row>
    <row r="21" spans="1:21" s="507" customFormat="1" ht="27.95" customHeight="1">
      <c r="B21" s="804">
        <v>5</v>
      </c>
      <c r="C21" s="86"/>
      <c r="D21" s="805"/>
      <c r="E21" s="1799"/>
      <c r="F21" s="1795"/>
      <c r="G21" s="1795"/>
      <c r="H21" s="1795"/>
      <c r="I21" s="1796"/>
      <c r="K21" s="808"/>
      <c r="L21" s="808"/>
      <c r="M21" s="74"/>
      <c r="N21" s="333">
        <v>0</v>
      </c>
      <c r="O21" s="334">
        <v>20</v>
      </c>
      <c r="P21" s="808"/>
      <c r="Q21" s="808"/>
      <c r="R21" s="808"/>
      <c r="S21" s="808"/>
      <c r="T21" s="808"/>
      <c r="U21" s="808"/>
    </row>
    <row r="22" spans="1:21" s="507" customFormat="1" ht="27.95" customHeight="1">
      <c r="B22" s="804">
        <v>6</v>
      </c>
      <c r="C22" s="86"/>
      <c r="D22" s="805"/>
      <c r="E22" s="1799"/>
      <c r="F22" s="1795"/>
      <c r="G22" s="1795"/>
      <c r="H22" s="1795"/>
      <c r="I22" s="1796"/>
      <c r="K22" s="808"/>
      <c r="L22" s="808"/>
      <c r="M22" s="74"/>
      <c r="N22" s="333">
        <v>0</v>
      </c>
      <c r="O22" s="334">
        <v>20</v>
      </c>
      <c r="P22" s="808"/>
      <c r="Q22" s="808"/>
      <c r="R22" s="808"/>
      <c r="S22" s="808"/>
      <c r="T22" s="808"/>
      <c r="U22" s="808"/>
    </row>
    <row r="23" spans="1:21" s="507" customFormat="1" ht="27.95" customHeight="1">
      <c r="B23" s="804">
        <v>7</v>
      </c>
      <c r="C23" s="86"/>
      <c r="D23" s="805"/>
      <c r="E23" s="1799"/>
      <c r="F23" s="1795"/>
      <c r="G23" s="1795"/>
      <c r="H23" s="1795"/>
      <c r="I23" s="1796"/>
      <c r="K23" s="811"/>
      <c r="L23" s="808"/>
      <c r="M23" s="74"/>
      <c r="N23" s="333">
        <v>0</v>
      </c>
      <c r="O23" s="334">
        <v>20</v>
      </c>
      <c r="P23" s="808"/>
      <c r="Q23" s="808"/>
      <c r="R23" s="808"/>
      <c r="S23" s="808"/>
      <c r="T23" s="808"/>
      <c r="U23" s="808"/>
    </row>
    <row r="24" spans="1:21" s="507" customFormat="1" ht="27.95" customHeight="1">
      <c r="B24" s="804">
        <v>8</v>
      </c>
      <c r="C24" s="86"/>
      <c r="D24" s="805"/>
      <c r="E24" s="1799"/>
      <c r="F24" s="1795"/>
      <c r="G24" s="1795"/>
      <c r="H24" s="1795"/>
      <c r="I24" s="1796"/>
      <c r="K24" s="808"/>
      <c r="L24" s="808"/>
      <c r="M24" s="74"/>
      <c r="N24" s="333">
        <v>0</v>
      </c>
      <c r="O24" s="334">
        <v>20</v>
      </c>
      <c r="P24" s="808"/>
      <c r="Q24" s="808"/>
      <c r="R24" s="808"/>
      <c r="S24" s="808"/>
      <c r="T24" s="808"/>
      <c r="U24" s="808"/>
    </row>
    <row r="25" spans="1:21" s="507" customFormat="1" ht="27.95" customHeight="1">
      <c r="B25" s="804">
        <v>9</v>
      </c>
      <c r="C25" s="86"/>
      <c r="D25" s="805"/>
      <c r="E25" s="1799"/>
      <c r="F25" s="1795"/>
      <c r="G25" s="1795"/>
      <c r="H25" s="1795"/>
      <c r="I25" s="1796"/>
      <c r="K25" s="808"/>
      <c r="L25" s="808"/>
      <c r="M25" s="74"/>
      <c r="N25" s="333">
        <v>0</v>
      </c>
      <c r="O25" s="334">
        <v>20</v>
      </c>
      <c r="P25" s="808"/>
      <c r="Q25" s="808"/>
      <c r="R25" s="808"/>
      <c r="S25" s="808"/>
      <c r="T25" s="808"/>
      <c r="U25" s="808"/>
    </row>
    <row r="26" spans="1:21" s="507" customFormat="1" ht="27.95" customHeight="1">
      <c r="B26" s="804">
        <v>10</v>
      </c>
      <c r="C26" s="86"/>
      <c r="D26" s="805"/>
      <c r="E26" s="1799"/>
      <c r="F26" s="1795"/>
      <c r="G26" s="1795"/>
      <c r="H26" s="1795"/>
      <c r="I26" s="1796"/>
      <c r="K26" s="808"/>
      <c r="L26" s="808"/>
      <c r="M26" s="74"/>
      <c r="N26" s="333">
        <v>0</v>
      </c>
      <c r="O26" s="334">
        <v>20</v>
      </c>
      <c r="P26" s="808"/>
      <c r="Q26" s="808"/>
      <c r="R26" s="808"/>
      <c r="S26" s="808"/>
      <c r="T26" s="808"/>
      <c r="U26" s="808"/>
    </row>
    <row r="27" spans="1:21" s="507" customFormat="1" ht="27.95" customHeight="1">
      <c r="B27" s="804">
        <v>11</v>
      </c>
      <c r="C27" s="86"/>
      <c r="D27" s="805"/>
      <c r="E27" s="1799"/>
      <c r="F27" s="1795"/>
      <c r="G27" s="1795"/>
      <c r="H27" s="1795"/>
      <c r="I27" s="1796"/>
      <c r="K27" s="811"/>
      <c r="L27" s="808"/>
      <c r="M27" s="74"/>
      <c r="N27" s="333">
        <v>0</v>
      </c>
      <c r="O27" s="334">
        <v>20</v>
      </c>
      <c r="P27" s="808"/>
      <c r="Q27" s="808"/>
      <c r="R27" s="808"/>
      <c r="S27" s="808"/>
      <c r="T27" s="808"/>
      <c r="U27" s="808"/>
    </row>
    <row r="28" spans="1:21" s="507" customFormat="1" ht="27.95" customHeight="1">
      <c r="B28" s="804">
        <v>12</v>
      </c>
      <c r="C28" s="86"/>
      <c r="D28" s="805"/>
      <c r="E28" s="1799"/>
      <c r="F28" s="1795"/>
      <c r="G28" s="1795"/>
      <c r="H28" s="1795"/>
      <c r="I28" s="1796"/>
      <c r="K28" s="808"/>
      <c r="L28" s="815"/>
      <c r="M28" s="74"/>
      <c r="N28" s="333">
        <v>0</v>
      </c>
      <c r="O28" s="334">
        <v>20</v>
      </c>
      <c r="P28" s="816"/>
      <c r="Q28" s="816"/>
      <c r="R28" s="816"/>
      <c r="S28" s="816"/>
      <c r="T28" s="816"/>
      <c r="U28" s="816"/>
    </row>
    <row r="29" spans="1:21" s="507" customFormat="1" ht="27.95" customHeight="1">
      <c r="B29" s="804">
        <v>13</v>
      </c>
      <c r="C29" s="86"/>
      <c r="D29" s="805"/>
      <c r="E29" s="1799"/>
      <c r="F29" s="1795"/>
      <c r="G29" s="1795"/>
      <c r="H29" s="1795"/>
      <c r="I29" s="1796"/>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7" t="s">
        <v>1215</v>
      </c>
      <c r="C32" s="1797"/>
      <c r="D32" s="1797"/>
      <c r="E32" s="1797"/>
      <c r="F32" s="1797"/>
      <c r="G32" s="1797"/>
      <c r="H32" s="1798" t="s">
        <v>1777</v>
      </c>
      <c r="I32" s="1798"/>
      <c r="K32" s="8" t="str">
        <f>IF(H32="","×","○")</f>
        <v>○</v>
      </c>
      <c r="M32" s="74"/>
      <c r="N32" s="816"/>
      <c r="O32" s="816"/>
      <c r="P32" s="816"/>
      <c r="Q32" s="816"/>
      <c r="R32" s="816"/>
      <c r="S32" s="816"/>
      <c r="T32" s="816"/>
      <c r="U32" s="816"/>
    </row>
    <row r="33" spans="1:21" s="8" customFormat="1" ht="33" customHeight="1">
      <c r="A33" s="818"/>
      <c r="B33" s="1797" t="s">
        <v>1216</v>
      </c>
      <c r="C33" s="1797"/>
      <c r="D33" s="1797"/>
      <c r="E33" s="1797"/>
      <c r="F33" s="1797"/>
      <c r="G33" s="1797"/>
      <c r="H33" s="1800" t="s">
        <v>1888</v>
      </c>
      <c r="I33" s="1801"/>
      <c r="K33" s="8" t="str">
        <f t="shared" ref="K33:K36" si="0">IF(H33="","×","○")</f>
        <v>○</v>
      </c>
      <c r="L33" s="819"/>
      <c r="M33" s="74"/>
      <c r="N33" s="819"/>
      <c r="O33" s="819"/>
      <c r="P33" s="819"/>
      <c r="Q33" s="819"/>
      <c r="R33" s="819"/>
      <c r="S33" s="819"/>
      <c r="T33" s="819"/>
      <c r="U33" s="819"/>
    </row>
    <row r="34" spans="1:21" s="8" customFormat="1" ht="33" customHeight="1">
      <c r="A34" s="818"/>
      <c r="B34" s="1797" t="s">
        <v>1217</v>
      </c>
      <c r="C34" s="1797"/>
      <c r="D34" s="1797"/>
      <c r="E34" s="1797"/>
      <c r="F34" s="1797"/>
      <c r="G34" s="1797"/>
      <c r="H34" s="1800" t="s">
        <v>1888</v>
      </c>
      <c r="I34" s="1801"/>
      <c r="K34" s="8" t="str">
        <f t="shared" si="0"/>
        <v>○</v>
      </c>
      <c r="L34" s="819"/>
      <c r="M34" s="74"/>
      <c r="N34" s="819"/>
      <c r="O34" s="819"/>
      <c r="P34" s="819"/>
      <c r="Q34" s="819"/>
      <c r="R34" s="819"/>
      <c r="S34" s="819"/>
      <c r="T34" s="819"/>
      <c r="U34" s="819"/>
    </row>
    <row r="35" spans="1:21" s="8" customFormat="1" ht="33" customHeight="1">
      <c r="A35" s="818"/>
      <c r="B35" s="1797" t="s">
        <v>1218</v>
      </c>
      <c r="C35" s="1797"/>
      <c r="D35" s="1797"/>
      <c r="E35" s="1797"/>
      <c r="F35" s="1797"/>
      <c r="G35" s="1797"/>
      <c r="H35" s="1800" t="s">
        <v>1888</v>
      </c>
      <c r="I35" s="1801"/>
      <c r="K35" s="8" t="str">
        <f t="shared" si="0"/>
        <v>○</v>
      </c>
      <c r="L35" s="819"/>
      <c r="M35" s="74"/>
      <c r="N35" s="819"/>
      <c r="O35" s="819"/>
      <c r="P35" s="819"/>
      <c r="Q35" s="819"/>
      <c r="R35" s="819"/>
      <c r="S35" s="819"/>
      <c r="T35" s="819"/>
      <c r="U35" s="819"/>
    </row>
    <row r="36" spans="1:21" s="8" customFormat="1" ht="33" customHeight="1">
      <c r="A36" s="818"/>
      <c r="B36" s="1797" t="s">
        <v>1219</v>
      </c>
      <c r="C36" s="1797"/>
      <c r="D36" s="1797"/>
      <c r="E36" s="1797"/>
      <c r="F36" s="1797"/>
      <c r="G36" s="1797"/>
      <c r="H36" s="1800" t="s">
        <v>1888</v>
      </c>
      <c r="I36" s="1801"/>
      <c r="K36" s="8" t="str">
        <f t="shared" si="0"/>
        <v>○</v>
      </c>
      <c r="L36" s="819"/>
      <c r="M36" s="74"/>
      <c r="N36" s="819"/>
      <c r="O36" s="819"/>
      <c r="P36" s="819"/>
      <c r="Q36" s="819"/>
      <c r="R36" s="819"/>
      <c r="S36" s="819"/>
      <c r="T36" s="819"/>
      <c r="U36" s="819"/>
    </row>
    <row r="37" spans="1:21" s="8" customFormat="1" ht="33" customHeight="1">
      <c r="A37" s="818"/>
      <c r="B37" s="1810" t="s">
        <v>1220</v>
      </c>
      <c r="C37" s="1810"/>
      <c r="D37" s="1810"/>
      <c r="E37" s="1810"/>
      <c r="F37" s="1810"/>
      <c r="G37" s="1810"/>
      <c r="H37" s="805">
        <v>0</v>
      </c>
      <c r="I37" s="31" t="s">
        <v>1221</v>
      </c>
      <c r="K37" s="547"/>
      <c r="L37" s="819"/>
      <c r="M37" s="74"/>
      <c r="N37" s="333">
        <v>0</v>
      </c>
      <c r="O37" s="334">
        <v>20</v>
      </c>
      <c r="P37" s="819"/>
      <c r="Q37" s="819"/>
      <c r="R37" s="819"/>
      <c r="S37" s="819"/>
      <c r="T37" s="819"/>
      <c r="U37" s="819"/>
    </row>
    <row r="38" spans="1:21" ht="33" customHeight="1">
      <c r="B38" s="1811" t="s">
        <v>1222</v>
      </c>
      <c r="C38" s="1812"/>
      <c r="D38" s="1812"/>
      <c r="E38" s="1812"/>
      <c r="F38" s="1812"/>
      <c r="G38" s="1812"/>
      <c r="H38" s="1812"/>
      <c r="I38" s="1813"/>
      <c r="K38" s="808"/>
      <c r="L38" s="808"/>
      <c r="M38" s="74"/>
      <c r="N38" s="808"/>
      <c r="O38" s="808"/>
      <c r="P38" s="808"/>
      <c r="Q38" s="808"/>
      <c r="R38" s="808"/>
      <c r="S38" s="808"/>
      <c r="T38" s="808"/>
      <c r="U38" s="808"/>
    </row>
    <row r="39" spans="1:21" ht="23.1" customHeight="1">
      <c r="B39" s="1802" t="s">
        <v>1889</v>
      </c>
      <c r="C39" s="1803"/>
      <c r="D39" s="1803"/>
      <c r="E39" s="1803"/>
      <c r="F39" s="1803"/>
      <c r="G39" s="1803"/>
      <c r="H39" s="1803"/>
      <c r="I39" s="1804"/>
      <c r="K39" s="621"/>
      <c r="L39" s="808"/>
      <c r="M39" s="74"/>
      <c r="N39" s="808"/>
      <c r="O39" s="808"/>
      <c r="P39" s="808"/>
      <c r="Q39" s="808"/>
      <c r="R39" s="808"/>
      <c r="S39" s="808"/>
      <c r="T39" s="808"/>
      <c r="U39" s="808"/>
    </row>
    <row r="40" spans="1:21" ht="23.1" customHeight="1">
      <c r="B40" s="1805"/>
      <c r="C40" s="1327"/>
      <c r="D40" s="1327"/>
      <c r="E40" s="1327"/>
      <c r="F40" s="1327"/>
      <c r="G40" s="1327"/>
      <c r="H40" s="1327"/>
      <c r="I40" s="1806"/>
      <c r="K40" s="808"/>
      <c r="L40" s="808"/>
      <c r="M40" s="74"/>
      <c r="N40" s="808"/>
      <c r="O40" s="808"/>
      <c r="P40" s="808"/>
      <c r="Q40" s="808"/>
      <c r="R40" s="808"/>
      <c r="S40" s="808"/>
      <c r="T40" s="808"/>
      <c r="U40" s="808"/>
    </row>
    <row r="41" spans="1:21" ht="23.1" customHeight="1">
      <c r="B41" s="1805"/>
      <c r="C41" s="1327"/>
      <c r="D41" s="1327"/>
      <c r="E41" s="1327"/>
      <c r="F41" s="1327"/>
      <c r="G41" s="1327"/>
      <c r="H41" s="1327"/>
      <c r="I41" s="1806"/>
      <c r="K41" s="808"/>
      <c r="L41" s="808"/>
      <c r="M41" s="74"/>
      <c r="N41" s="808"/>
      <c r="O41" s="808"/>
      <c r="P41" s="808"/>
      <c r="Q41" s="808"/>
      <c r="R41" s="808"/>
      <c r="S41" s="808"/>
      <c r="T41" s="808"/>
      <c r="U41" s="808"/>
    </row>
    <row r="42" spans="1:21" ht="23.1" customHeight="1">
      <c r="B42" s="1805"/>
      <c r="C42" s="1327"/>
      <c r="D42" s="1327"/>
      <c r="E42" s="1327"/>
      <c r="F42" s="1327"/>
      <c r="G42" s="1327"/>
      <c r="H42" s="1327"/>
      <c r="I42" s="1806"/>
      <c r="K42" s="808"/>
      <c r="L42" s="808"/>
      <c r="M42" s="74"/>
      <c r="N42" s="808"/>
      <c r="O42" s="808"/>
      <c r="P42" s="808"/>
      <c r="Q42" s="808"/>
      <c r="R42" s="808"/>
      <c r="S42" s="808"/>
      <c r="T42" s="808"/>
      <c r="U42" s="808"/>
    </row>
    <row r="43" spans="1:21" ht="23.1" customHeight="1">
      <c r="B43" s="1807"/>
      <c r="C43" s="1808"/>
      <c r="D43" s="1808"/>
      <c r="E43" s="1808"/>
      <c r="F43" s="1808"/>
      <c r="G43" s="1808"/>
      <c r="H43" s="1808"/>
      <c r="I43" s="1809"/>
      <c r="K43" s="808"/>
      <c r="L43" s="808"/>
      <c r="M43" s="74"/>
      <c r="N43" s="808"/>
      <c r="O43" s="808"/>
      <c r="P43" s="808"/>
      <c r="Q43" s="808"/>
      <c r="R43" s="808"/>
      <c r="S43" s="808"/>
      <c r="T43" s="808"/>
      <c r="U43" s="808"/>
    </row>
    <row r="44" spans="1:21" ht="33" customHeight="1">
      <c r="B44" s="1814" t="s">
        <v>1223</v>
      </c>
      <c r="C44" s="1815"/>
      <c r="D44" s="1815"/>
      <c r="E44" s="1815"/>
      <c r="F44" s="1815"/>
      <c r="G44" s="1815"/>
      <c r="H44" s="1815"/>
      <c r="I44" s="1816"/>
      <c r="K44" s="808"/>
      <c r="L44" s="808"/>
      <c r="M44" s="74"/>
      <c r="N44" s="808"/>
      <c r="O44" s="808"/>
      <c r="P44" s="808"/>
      <c r="Q44" s="808"/>
      <c r="R44" s="808"/>
      <c r="S44" s="808"/>
      <c r="T44" s="808"/>
      <c r="U44" s="808"/>
    </row>
    <row r="45" spans="1:21" ht="23.1" customHeight="1">
      <c r="B45" s="1802" t="s">
        <v>1890</v>
      </c>
      <c r="C45" s="1803"/>
      <c r="D45" s="1803"/>
      <c r="E45" s="1803"/>
      <c r="F45" s="1803"/>
      <c r="G45" s="1803"/>
      <c r="H45" s="1803"/>
      <c r="I45" s="1804"/>
      <c r="K45" s="808"/>
      <c r="L45" s="808"/>
      <c r="M45" s="74"/>
      <c r="N45" s="808"/>
      <c r="O45" s="808"/>
      <c r="P45" s="808"/>
      <c r="Q45" s="808"/>
      <c r="R45" s="808"/>
      <c r="S45" s="808"/>
      <c r="T45" s="808"/>
      <c r="U45" s="808"/>
    </row>
    <row r="46" spans="1:21" ht="23.1" customHeight="1">
      <c r="B46" s="1805"/>
      <c r="C46" s="1327"/>
      <c r="D46" s="1327"/>
      <c r="E46" s="1327"/>
      <c r="F46" s="1327"/>
      <c r="G46" s="1327"/>
      <c r="H46" s="1327"/>
      <c r="I46" s="1806"/>
      <c r="K46" s="808"/>
      <c r="L46" s="808"/>
      <c r="M46" s="74"/>
      <c r="N46" s="808"/>
      <c r="O46" s="808"/>
      <c r="P46" s="808"/>
      <c r="Q46" s="808"/>
      <c r="R46" s="808"/>
      <c r="S46" s="808"/>
      <c r="T46" s="808"/>
      <c r="U46" s="808"/>
    </row>
    <row r="47" spans="1:21" ht="23.1" customHeight="1">
      <c r="B47" s="1807"/>
      <c r="C47" s="1808"/>
      <c r="D47" s="1808"/>
      <c r="E47" s="1808"/>
      <c r="F47" s="1808"/>
      <c r="G47" s="1808"/>
      <c r="H47" s="1808"/>
      <c r="I47" s="1809"/>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M13" sqref="M13"/>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4" t="s">
        <v>1430</v>
      </c>
      <c r="B1" s="1784"/>
      <c r="C1" s="1784"/>
      <c r="D1" s="1784"/>
      <c r="E1" s="1784"/>
      <c r="F1" s="1784"/>
      <c r="G1" s="1784"/>
      <c r="H1" s="1784"/>
      <c r="I1" s="1784"/>
      <c r="J1" s="1784"/>
    </row>
    <row r="2" spans="1:13" ht="24.95" customHeight="1" thickBot="1">
      <c r="B2" s="1272" t="s">
        <v>1205</v>
      </c>
      <c r="C2" s="1272"/>
      <c r="D2" s="1272"/>
      <c r="E2" s="1272"/>
      <c r="F2" s="1272"/>
      <c r="G2" s="1272"/>
      <c r="H2" s="1272"/>
      <c r="I2" s="807" t="str">
        <f>IF(COUNTIF(K:K,"×")=0,"入力済","未入力あり")</f>
        <v>入力済</v>
      </c>
      <c r="M2" s="139" t="s">
        <v>204</v>
      </c>
    </row>
    <row r="3" spans="1:13" ht="24.95" customHeight="1">
      <c r="B3" s="1785"/>
      <c r="C3" s="1785"/>
      <c r="D3" s="1785"/>
      <c r="E3" s="1785"/>
      <c r="F3" s="1785"/>
      <c r="G3" s="1785"/>
      <c r="H3" s="1785"/>
      <c r="I3" s="387"/>
      <c r="M3" s="74"/>
    </row>
    <row r="4" spans="1:13" ht="24.95" customHeight="1">
      <c r="G4" s="806" t="s">
        <v>725</v>
      </c>
      <c r="H4" s="1273" t="str">
        <f>表紙!E2</f>
        <v>医療法人徳洲会　松原徳洲会病院</v>
      </c>
      <c r="I4" s="1274"/>
      <c r="M4" s="74"/>
    </row>
    <row r="5" spans="1:13" ht="20.100000000000001" customHeight="1">
      <c r="M5" s="116"/>
    </row>
    <row r="6" spans="1:13" ht="11.25" customHeight="1">
      <c r="G6" s="528"/>
      <c r="M6" s="74"/>
    </row>
    <row r="7" spans="1:13" ht="9.9499999999999993" customHeight="1">
      <c r="G7" s="528"/>
      <c r="M7" s="74"/>
    </row>
    <row r="8" spans="1:13" ht="20.100000000000001" customHeight="1">
      <c r="A8" s="1786" t="s">
        <v>1431</v>
      </c>
      <c r="B8" s="1786"/>
      <c r="C8" s="1786"/>
      <c r="D8" s="1786"/>
      <c r="E8" s="1786"/>
      <c r="F8" s="1786"/>
      <c r="G8" s="1786"/>
      <c r="H8" s="1786"/>
      <c r="I8" s="1786"/>
      <c r="J8" s="1786"/>
      <c r="M8" s="116"/>
    </row>
    <row r="9" spans="1:13" ht="20.100000000000001" customHeight="1" thickBot="1">
      <c r="A9" s="1"/>
      <c r="B9" s="1103" t="s">
        <v>1440</v>
      </c>
      <c r="C9" s="1"/>
      <c r="D9" s="1"/>
      <c r="E9" s="1"/>
      <c r="F9" s="1"/>
      <c r="G9" s="1"/>
      <c r="H9" s="1"/>
      <c r="I9" s="1"/>
      <c r="J9" s="1"/>
      <c r="K9" s="547"/>
      <c r="M9" s="116"/>
    </row>
    <row r="10" spans="1:13" ht="20.100000000000001" customHeight="1" thickBot="1">
      <c r="A10" s="1823" t="s">
        <v>1899</v>
      </c>
      <c r="B10" s="1824"/>
      <c r="C10" s="1824"/>
      <c r="D10" s="1824"/>
      <c r="E10" s="1824"/>
      <c r="F10" s="1824"/>
      <c r="G10" s="1824"/>
      <c r="H10" s="1825"/>
      <c r="K10" s="1187" t="str">
        <f>IF(ISBLANK(A10),"×","〇")</f>
        <v>〇</v>
      </c>
      <c r="M10" s="74"/>
    </row>
    <row r="11" spans="1:13" ht="20.100000000000001" customHeight="1" thickBot="1">
      <c r="A11" s="1"/>
      <c r="B11" s="1"/>
      <c r="C11" s="1"/>
      <c r="D11" s="1"/>
      <c r="F11" s="1826" t="s">
        <v>1689</v>
      </c>
      <c r="G11" s="1827"/>
      <c r="H11" s="1188">
        <v>7</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8" t="s">
        <v>1690</v>
      </c>
      <c r="B14" s="1829"/>
      <c r="C14" s="1829"/>
      <c r="D14" s="1829"/>
      <c r="E14" s="1829"/>
      <c r="F14" s="1829"/>
      <c r="G14" s="1829"/>
      <c r="H14" s="1829"/>
      <c r="I14" s="1830"/>
      <c r="J14" s="1"/>
      <c r="M14" s="74"/>
    </row>
    <row r="15" spans="1:13" ht="20.100000000000001" customHeight="1">
      <c r="A15" s="1831"/>
      <c r="B15" s="1832"/>
      <c r="C15" s="1832"/>
      <c r="D15" s="1832"/>
      <c r="E15" s="1832"/>
      <c r="F15" s="1832"/>
      <c r="G15" s="1832"/>
      <c r="H15" s="1832"/>
      <c r="I15" s="1833"/>
      <c r="J15" s="1"/>
      <c r="M15" s="74"/>
    </row>
    <row r="16" spans="1:13" ht="53.25" customHeight="1">
      <c r="A16" s="1831"/>
      <c r="B16" s="1832"/>
      <c r="C16" s="1832"/>
      <c r="D16" s="1832"/>
      <c r="E16" s="1832"/>
      <c r="F16" s="1832"/>
      <c r="G16" s="1832"/>
      <c r="H16" s="1832"/>
      <c r="I16" s="1833"/>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19" t="s">
        <v>1435</v>
      </c>
      <c r="G18" s="1820"/>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1" t="s">
        <v>1438</v>
      </c>
      <c r="G19" s="1822"/>
      <c r="H19" s="847">
        <v>4</v>
      </c>
      <c r="I19" s="848" t="s">
        <v>1439</v>
      </c>
      <c r="K19" s="808"/>
      <c r="L19" s="808"/>
      <c r="M19" s="74"/>
      <c r="N19" s="808"/>
      <c r="O19" s="808"/>
      <c r="P19" s="808"/>
      <c r="Q19" s="808"/>
      <c r="R19" s="808"/>
      <c r="S19" s="808"/>
      <c r="T19" s="808"/>
      <c r="U19" s="808"/>
    </row>
    <row r="20" spans="1:21" s="507" customFormat="1" ht="27.95" customHeight="1" thickBot="1">
      <c r="B20" s="396">
        <v>1</v>
      </c>
      <c r="C20" s="849">
        <v>10</v>
      </c>
      <c r="D20" s="849">
        <v>12</v>
      </c>
      <c r="E20" s="850" t="s">
        <v>1891</v>
      </c>
      <c r="F20" s="1817" t="s">
        <v>1892</v>
      </c>
      <c r="G20" s="1818"/>
      <c r="H20" s="849">
        <v>4</v>
      </c>
      <c r="I20" s="852" t="s">
        <v>1893</v>
      </c>
      <c r="K20" s="841" t="str">
        <f>IF(AND(A20&lt;&gt;0,A20=""),"×","○")</f>
        <v>○</v>
      </c>
      <c r="L20" s="808"/>
      <c r="M20" s="74"/>
      <c r="N20" s="333">
        <v>0</v>
      </c>
      <c r="O20" s="334">
        <v>20</v>
      </c>
      <c r="P20" s="808"/>
      <c r="Q20" s="808"/>
      <c r="R20" s="808"/>
      <c r="S20" s="808"/>
      <c r="T20" s="808"/>
      <c r="U20" s="808"/>
    </row>
    <row r="21" spans="1:21" s="507" customFormat="1" ht="27.95" customHeight="1" thickBot="1">
      <c r="B21" s="804">
        <v>2</v>
      </c>
      <c r="C21" s="849">
        <v>17</v>
      </c>
      <c r="D21" s="849">
        <v>51</v>
      </c>
      <c r="E21" s="850" t="s">
        <v>1894</v>
      </c>
      <c r="F21" s="1817" t="s">
        <v>1895</v>
      </c>
      <c r="G21" s="1818"/>
      <c r="H21" s="849">
        <v>2</v>
      </c>
      <c r="I21" s="852" t="s">
        <v>1896</v>
      </c>
      <c r="K21" s="808"/>
      <c r="L21" s="808"/>
      <c r="M21" s="74"/>
      <c r="N21" s="333">
        <v>0</v>
      </c>
      <c r="O21" s="334">
        <v>20</v>
      </c>
      <c r="P21" s="808"/>
      <c r="Q21" s="808"/>
      <c r="R21" s="808"/>
      <c r="S21" s="808"/>
      <c r="T21" s="808"/>
      <c r="U21" s="808"/>
    </row>
    <row r="22" spans="1:21" s="507" customFormat="1" ht="27.95" customHeight="1" thickBot="1">
      <c r="B22" s="814">
        <v>3</v>
      </c>
      <c r="C22" s="849">
        <v>14</v>
      </c>
      <c r="D22" s="849">
        <v>33</v>
      </c>
      <c r="E22" s="850" t="s">
        <v>1897</v>
      </c>
      <c r="F22" s="1817" t="s">
        <v>1898</v>
      </c>
      <c r="G22" s="1818"/>
      <c r="H22" s="849">
        <v>1</v>
      </c>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17"/>
      <c r="G23" s="1818"/>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17"/>
      <c r="G24" s="1818"/>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17"/>
      <c r="G25" s="1818"/>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17"/>
      <c r="G26" s="1818"/>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17"/>
      <c r="G27" s="1818"/>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17"/>
      <c r="G28" s="1818"/>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7"/>
      <c r="G29" s="1818"/>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7"/>
      <c r="G30" s="1818"/>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7"/>
      <c r="G31" s="1818"/>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7"/>
      <c r="G32" s="1818"/>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A10" sqref="A10"/>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5" t="s">
        <v>1638</v>
      </c>
      <c r="B1" s="1865"/>
      <c r="C1" s="1865"/>
      <c r="D1" s="1865"/>
      <c r="E1" s="1865"/>
      <c r="F1" s="1865"/>
      <c r="G1" s="1865"/>
      <c r="H1" s="1865"/>
      <c r="I1" s="1865"/>
      <c r="J1" s="1865"/>
      <c r="K1" s="1865"/>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2" t="s">
        <v>1205</v>
      </c>
      <c r="C2" s="1272"/>
      <c r="D2" s="1272"/>
      <c r="E2" s="1272"/>
      <c r="F2" s="1272"/>
      <c r="G2" s="1272"/>
      <c r="H2" s="1272"/>
      <c r="I2" s="1272"/>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3" t="s">
        <v>1721</v>
      </c>
      <c r="B3" s="1864"/>
      <c r="C3" s="1864"/>
      <c r="D3" s="1864"/>
      <c r="E3" s="1864"/>
      <c r="F3" s="1864"/>
      <c r="G3" s="1864"/>
      <c r="H3" s="1864"/>
      <c r="I3" s="1864"/>
      <c r="J3" s="1864"/>
      <c r="K3" s="1864"/>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4" t="s">
        <v>1350</v>
      </c>
      <c r="B4" s="1836" t="s">
        <v>1351</v>
      </c>
      <c r="C4" s="1837"/>
      <c r="D4" s="858" t="s">
        <v>1352</v>
      </c>
      <c r="E4" s="859" t="s">
        <v>1712</v>
      </c>
      <c r="F4" s="1838" t="s">
        <v>1447</v>
      </c>
      <c r="G4" s="1838"/>
      <c r="H4" s="1838"/>
      <c r="I4" s="1838"/>
      <c r="J4" s="1838"/>
      <c r="K4" s="1838"/>
      <c r="L4" s="1838"/>
      <c r="M4" s="1838"/>
      <c r="N4" s="1838"/>
      <c r="O4" s="1838"/>
      <c r="P4" s="1838"/>
      <c r="Q4" s="1838"/>
      <c r="R4" s="1838"/>
      <c r="S4" s="1838"/>
      <c r="T4" s="1838"/>
      <c r="U4" s="1838"/>
      <c r="V4" s="1838"/>
      <c r="W4" s="1838"/>
      <c r="X4" s="1838"/>
      <c r="Y4" s="1838"/>
      <c r="Z4" s="1838"/>
      <c r="AA4" s="1838"/>
      <c r="AB4" s="1838"/>
      <c r="AC4" s="1838"/>
      <c r="AD4" s="1838"/>
      <c r="AE4" s="1838"/>
      <c r="AF4" s="1838"/>
      <c r="AG4" s="1838"/>
      <c r="AH4" s="1838"/>
      <c r="AI4" s="1838"/>
      <c r="AJ4" s="1838"/>
      <c r="AK4" s="859"/>
      <c r="AL4" s="1839" t="s">
        <v>1353</v>
      </c>
      <c r="AM4" s="1840"/>
      <c r="AN4" s="1840"/>
      <c r="AO4" s="1840"/>
      <c r="AP4" s="1840"/>
      <c r="AQ4" s="1840"/>
      <c r="AR4" s="1840"/>
      <c r="AS4" s="1840"/>
      <c r="AT4" s="1840"/>
      <c r="AU4" s="1840"/>
      <c r="AV4" s="1840"/>
      <c r="AW4" s="1840"/>
      <c r="AX4" s="1840"/>
      <c r="AY4" s="1840"/>
      <c r="AZ4" s="1840"/>
      <c r="BA4" s="1841"/>
      <c r="BB4" s="860" t="s">
        <v>826</v>
      </c>
      <c r="BC4" s="1850" t="s">
        <v>1354</v>
      </c>
      <c r="BD4" s="1851"/>
      <c r="BE4" s="1851"/>
      <c r="BF4" s="1851"/>
      <c r="BG4" s="861" t="s">
        <v>1355</v>
      </c>
      <c r="BH4" s="1836" t="s">
        <v>1356</v>
      </c>
      <c r="BI4" s="1840"/>
      <c r="BJ4" s="1840"/>
      <c r="BK4" s="1841"/>
      <c r="BL4" s="862" t="s">
        <v>1357</v>
      </c>
    </row>
    <row r="5" spans="1:64" s="863" customFormat="1" ht="66.75" customHeight="1" thickTop="1" thickBot="1">
      <c r="A5" s="1835"/>
      <c r="B5" s="1852" t="s">
        <v>1448</v>
      </c>
      <c r="C5" s="1854" t="s">
        <v>1449</v>
      </c>
      <c r="D5" s="1854" t="s">
        <v>1358</v>
      </c>
      <c r="E5" s="1859" t="s">
        <v>223</v>
      </c>
      <c r="F5" s="1854" t="s">
        <v>1450</v>
      </c>
      <c r="G5" s="1842" t="s">
        <v>1359</v>
      </c>
      <c r="H5" s="1843"/>
      <c r="I5" s="1857"/>
      <c r="J5" s="1858" t="s">
        <v>1360</v>
      </c>
      <c r="K5" s="1859"/>
      <c r="L5" s="1859"/>
      <c r="M5" s="1859"/>
      <c r="N5" s="1860"/>
      <c r="O5" s="1858" t="s">
        <v>1361</v>
      </c>
      <c r="P5" s="1859"/>
      <c r="Q5" s="1859"/>
      <c r="R5" s="1860"/>
      <c r="S5" s="1858" t="s">
        <v>1362</v>
      </c>
      <c r="T5" s="1859"/>
      <c r="U5" s="1859"/>
      <c r="V5" s="1859"/>
      <c r="W5" s="1860"/>
      <c r="X5" s="1842" t="s">
        <v>1363</v>
      </c>
      <c r="Y5" s="1843"/>
      <c r="Z5" s="1843"/>
      <c r="AA5" s="1843"/>
      <c r="AB5" s="1844"/>
      <c r="AC5" s="1842" t="s">
        <v>1451</v>
      </c>
      <c r="AD5" s="1843"/>
      <c r="AE5" s="864"/>
      <c r="AF5" s="1845" t="s">
        <v>1452</v>
      </c>
      <c r="AG5" s="1846"/>
      <c r="AH5" s="1177" t="s">
        <v>1453</v>
      </c>
      <c r="AI5" s="1847" t="s">
        <v>1454</v>
      </c>
      <c r="AJ5" s="1847"/>
      <c r="AK5" s="1176"/>
      <c r="AL5" s="1874" t="s">
        <v>1364</v>
      </c>
      <c r="AM5" s="1876" t="s">
        <v>1365</v>
      </c>
      <c r="AN5" s="1843"/>
      <c r="AO5" s="1843"/>
      <c r="AP5" s="1843"/>
      <c r="AQ5" s="1843"/>
      <c r="AR5" s="1843"/>
      <c r="AS5" s="1877"/>
      <c r="AT5" s="1876" t="s">
        <v>1366</v>
      </c>
      <c r="AU5" s="1843"/>
      <c r="AV5" s="1843"/>
      <c r="AW5" s="1843"/>
      <c r="AX5" s="1843"/>
      <c r="AY5" s="1843"/>
      <c r="AZ5" s="1843"/>
      <c r="BA5" s="1877"/>
      <c r="BB5" s="1180" t="s">
        <v>1367</v>
      </c>
      <c r="BC5" s="1847" t="s">
        <v>1368</v>
      </c>
      <c r="BD5" s="1847" t="s">
        <v>1369</v>
      </c>
      <c r="BE5" s="1847"/>
      <c r="BF5" s="1847"/>
      <c r="BG5" s="1848" t="s">
        <v>1455</v>
      </c>
      <c r="BH5" s="1842" t="s">
        <v>1456</v>
      </c>
      <c r="BI5" s="1857"/>
      <c r="BJ5" s="1842" t="s">
        <v>1457</v>
      </c>
      <c r="BK5" s="1843"/>
      <c r="BL5" s="1866" t="s">
        <v>1370</v>
      </c>
    </row>
    <row r="6" spans="1:64" s="863" customFormat="1" ht="86.25">
      <c r="A6" s="1835"/>
      <c r="B6" s="1853"/>
      <c r="C6" s="1855"/>
      <c r="D6" s="1855"/>
      <c r="E6" s="1861"/>
      <c r="F6" s="1856"/>
      <c r="G6" s="1868" t="s">
        <v>1371</v>
      </c>
      <c r="H6" s="1868" t="s">
        <v>1458</v>
      </c>
      <c r="I6" s="1870"/>
      <c r="J6" s="865" t="s">
        <v>1373</v>
      </c>
      <c r="K6" s="1868" t="s">
        <v>1374</v>
      </c>
      <c r="L6" s="1870"/>
      <c r="M6" s="865" t="s">
        <v>1375</v>
      </c>
      <c r="N6" s="865" t="s">
        <v>1376</v>
      </c>
      <c r="O6" s="865" t="s">
        <v>1377</v>
      </c>
      <c r="P6" s="1868" t="s">
        <v>1378</v>
      </c>
      <c r="Q6" s="1870"/>
      <c r="R6" s="865" t="s">
        <v>1379</v>
      </c>
      <c r="S6" s="865" t="s">
        <v>1377</v>
      </c>
      <c r="T6" s="1868" t="s">
        <v>1380</v>
      </c>
      <c r="U6" s="1870"/>
      <c r="V6" s="865" t="s">
        <v>1381</v>
      </c>
      <c r="W6" s="865" t="s">
        <v>1382</v>
      </c>
      <c r="X6" s="865" t="s">
        <v>1383</v>
      </c>
      <c r="Y6" s="865" t="s">
        <v>1384</v>
      </c>
      <c r="Z6" s="865" t="s">
        <v>1385</v>
      </c>
      <c r="AA6" s="865" t="s">
        <v>1386</v>
      </c>
      <c r="AB6" s="865" t="s">
        <v>1459</v>
      </c>
      <c r="AC6" s="865" t="s">
        <v>1460</v>
      </c>
      <c r="AD6" s="1869" t="s">
        <v>1461</v>
      </c>
      <c r="AE6" s="1871"/>
      <c r="AF6" s="866" t="s">
        <v>1371</v>
      </c>
      <c r="AG6" s="866" t="s">
        <v>1372</v>
      </c>
      <c r="AH6" s="866" t="s">
        <v>1371</v>
      </c>
      <c r="AI6" s="867" t="s">
        <v>1460</v>
      </c>
      <c r="AJ6" s="1872" t="s">
        <v>1461</v>
      </c>
      <c r="AK6" s="1873"/>
      <c r="AL6" s="1875"/>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78"/>
      <c r="BD6" s="1178" t="s">
        <v>1399</v>
      </c>
      <c r="BE6" s="1178" t="s">
        <v>1400</v>
      </c>
      <c r="BF6" s="869" t="s">
        <v>1401</v>
      </c>
      <c r="BG6" s="1849"/>
      <c r="BH6" s="866" t="s">
        <v>1465</v>
      </c>
      <c r="BI6" s="866" t="s">
        <v>1466</v>
      </c>
      <c r="BJ6" s="866" t="s">
        <v>1467</v>
      </c>
      <c r="BK6" s="1173" t="s">
        <v>1466</v>
      </c>
      <c r="BL6" s="1867"/>
    </row>
    <row r="7" spans="1:64" s="863" customFormat="1" ht="51.75">
      <c r="A7" s="1179"/>
      <c r="B7" s="864"/>
      <c r="C7" s="864"/>
      <c r="D7" s="864"/>
      <c r="E7" s="1862"/>
      <c r="F7" s="864"/>
      <c r="G7" s="1869"/>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医療法人徳洲会　松原徳洲会病院</v>
      </c>
      <c r="B8" s="1184">
        <f>'様式4（全般事項）'!R209</f>
        <v>6990</v>
      </c>
      <c r="C8" s="1185">
        <f>'様式4（全般事項）'!R210</f>
        <v>9.2265047518479406</v>
      </c>
      <c r="D8" s="1184">
        <f>'様式４(機能別)'!J212</f>
        <v>282</v>
      </c>
      <c r="E8" s="1184">
        <f>'様式4（全般事項）'!R28</f>
        <v>249</v>
      </c>
      <c r="F8" s="1184">
        <f>'様式４(機能別)'!J213</f>
        <v>375</v>
      </c>
      <c r="G8" s="1184">
        <f>'様式4（全般事項）'!R231</f>
        <v>0</v>
      </c>
      <c r="H8" s="1184">
        <f>'様式4（全般事項）'!R232</f>
        <v>0</v>
      </c>
      <c r="I8" s="1184">
        <f>'様式4（全般事項）'!R233</f>
        <v>0</v>
      </c>
      <c r="J8" s="1184">
        <f>'様式4（全般事項）'!R235</f>
        <v>14</v>
      </c>
      <c r="K8" s="1184">
        <f>'様式4（全般事項）'!R236</f>
        <v>6</v>
      </c>
      <c r="L8" s="1184">
        <f>'様式4（全般事項）'!R237</f>
        <v>0</v>
      </c>
      <c r="M8" s="1184">
        <f>'様式4（全般事項）'!R238</f>
        <v>0</v>
      </c>
      <c r="N8" s="1184">
        <f>'様式4（全般事項）'!R239</f>
        <v>10</v>
      </c>
      <c r="O8" s="1184">
        <f>'様式4（全般事項）'!R226</f>
        <v>21</v>
      </c>
      <c r="P8" s="1184">
        <f>'様式4（全般事項）'!R227</f>
        <v>49</v>
      </c>
      <c r="Q8" s="1184">
        <f>'様式4（全般事項）'!R228</f>
        <v>0</v>
      </c>
      <c r="R8" s="1184">
        <f>'様式4（全般事項）'!R229</f>
        <v>49</v>
      </c>
      <c r="S8" s="1184">
        <f>'様式4（全般事項）'!R251</f>
        <v>0</v>
      </c>
      <c r="T8" s="1184">
        <f>'様式4（全般事項）'!R252</f>
        <v>0</v>
      </c>
      <c r="U8" s="1184">
        <f>'様式4（全般事項）'!R253</f>
        <v>0</v>
      </c>
      <c r="V8" s="1184">
        <f>'様式4（全般事項）'!R254</f>
        <v>0</v>
      </c>
      <c r="W8" s="1184">
        <f>'様式4（全般事項）'!R255</f>
        <v>0</v>
      </c>
      <c r="X8" s="1184">
        <f>'様式4（全般事項）'!R241</f>
        <v>12</v>
      </c>
      <c r="Y8" s="1184">
        <f>'様式4（全般事項）'!R242</f>
        <v>0</v>
      </c>
      <c r="Z8" s="1184">
        <f>'様式4（全般事項）'!R243</f>
        <v>1</v>
      </c>
      <c r="AA8" s="1184">
        <f>'様式4（全般事項）'!R244</f>
        <v>27</v>
      </c>
      <c r="AB8" s="1184">
        <f>'様式4（全般事項）'!R245</f>
        <v>0</v>
      </c>
      <c r="AC8" s="1184">
        <f>'様式4（全般事項）'!R247</f>
        <v>0</v>
      </c>
      <c r="AD8" s="1184">
        <f>'様式4（全般事項）'!R248</f>
        <v>24</v>
      </c>
      <c r="AE8" s="1184">
        <f>'様式4（全般事項）'!R249</f>
        <v>24</v>
      </c>
      <c r="AF8" s="1184">
        <f>'様式4（全般事項）'!R257</f>
        <v>0</v>
      </c>
      <c r="AG8" s="1184">
        <f>'様式4（全般事項）'!R258</f>
        <v>0</v>
      </c>
      <c r="AH8" s="1184">
        <f>'様式4（全般事項）'!R260</f>
        <v>0</v>
      </c>
      <c r="AI8" s="1184">
        <f>'様式4（全般事項）'!R262</f>
        <v>1</v>
      </c>
      <c r="AJ8" s="1184">
        <f>'様式4（全般事項）'!R263</f>
        <v>0</v>
      </c>
      <c r="AK8" s="1184">
        <f>'様式4（全般事項）'!R264</f>
        <v>0</v>
      </c>
      <c r="AL8" s="1186">
        <v>0</v>
      </c>
      <c r="AM8" s="1184">
        <f>'様式4（全般事項）'!R268</f>
        <v>0</v>
      </c>
      <c r="AN8" s="1184">
        <f>'様式4（全般事項）'!R269</f>
        <v>0</v>
      </c>
      <c r="AO8" s="1184">
        <f>'様式4（全般事項）'!R270</f>
        <v>0</v>
      </c>
      <c r="AP8" s="1184">
        <f>'様式4（全般事項）'!R271</f>
        <v>0</v>
      </c>
      <c r="AQ8" s="1184">
        <f>'様式4（全般事項）'!R272</f>
        <v>0</v>
      </c>
      <c r="AR8" s="1184">
        <f>'様式4（全般事項）'!R273</f>
        <v>0</v>
      </c>
      <c r="AS8" s="1184">
        <f>'様式4（全般事項）'!R274</f>
        <v>0</v>
      </c>
      <c r="AT8" s="1184">
        <f>'様式4（全般事項）'!R277</f>
        <v>0</v>
      </c>
      <c r="AU8" s="1184">
        <f>'様式4（全般事項）'!R278</f>
        <v>0</v>
      </c>
      <c r="AV8" s="1184">
        <f>'様式4（全般事項）'!R279</f>
        <v>0</v>
      </c>
      <c r="AW8" s="1184">
        <f>'様式4（全般事項）'!R280</f>
        <v>0</v>
      </c>
      <c r="AX8" s="1184">
        <f>'様式4（全般事項）'!R283</f>
        <v>0</v>
      </c>
      <c r="AY8" s="1184">
        <f>'様式4（全般事項）'!R284</f>
        <v>0</v>
      </c>
      <c r="AZ8" s="1184">
        <f>'様式4（全般事項）'!R281</f>
        <v>0</v>
      </c>
      <c r="BA8" s="1184">
        <f>'様式4（全般事項）'!R282</f>
        <v>0</v>
      </c>
      <c r="BB8" s="1184">
        <f>'様式４(機能別)'!J214</f>
        <v>453</v>
      </c>
      <c r="BC8" s="1184">
        <f>'様式４(機能別)'!J216</f>
        <v>106</v>
      </c>
      <c r="BD8" s="1184">
        <f>'様式4（全般事項）'!R286</f>
        <v>90</v>
      </c>
      <c r="BE8" s="1184">
        <f>'様式4（全般事項）'!R287</f>
        <v>76</v>
      </c>
      <c r="BF8" s="1184">
        <f>'様式4（全般事項）'!R288</f>
        <v>42</v>
      </c>
      <c r="BG8" s="1184">
        <f>別紙11相談内容!C8</f>
        <v>297</v>
      </c>
      <c r="BH8" s="1186">
        <v>11</v>
      </c>
      <c r="BI8" s="1184">
        <f>BH8*12</f>
        <v>132</v>
      </c>
      <c r="BJ8" s="1186">
        <v>6</v>
      </c>
      <c r="BK8" s="1184">
        <f>BJ8*12</f>
        <v>72</v>
      </c>
      <c r="BL8" s="1185">
        <f>'様式４(機能別)'!J217</f>
        <v>3</v>
      </c>
    </row>
    <row r="9" spans="1:64" ht="76.150000000000006" customHeight="1" thickBot="1">
      <c r="A9" s="991">
        <v>30</v>
      </c>
      <c r="B9" s="1184">
        <f>IFERROR(VLOOKUP(別紙22診療実績とりまとめ!$A$9,前年度診療実績!$A$7:$BL$70,3,TRUE),"")</f>
        <v>536</v>
      </c>
      <c r="C9" s="1201">
        <f>IFERROR(VLOOKUP(別紙22診療実績とりまとめ!$A$9,前年度診療実績!$A$7:$BL$70,4,TRUE),"")</f>
        <v>0.82172040043538908</v>
      </c>
      <c r="D9" s="1184">
        <f>IFERROR(VLOOKUP(別紙22診療実績とりまとめ!$A$9,前年度診療実績!$A$7:$BL$70,5,TRUE),"")</f>
        <v>282</v>
      </c>
      <c r="E9" s="1184"/>
      <c r="F9" s="1184">
        <f>IFERROR(VLOOKUP(別紙22診療実績とりまとめ!$A$9,前年度診療実績!$A$7:$BL$70,6,TRUE),"")</f>
        <v>341</v>
      </c>
      <c r="G9" s="1184">
        <f>IFERROR(VLOOKUP(別紙22診療実績とりまとめ!$A$9,前年度診療実績!$A$7:$BL$70,7,TRUE),"")</f>
        <v>0</v>
      </c>
      <c r="H9" s="1184">
        <f>IFERROR(VLOOKUP(別紙22診療実績とりまとめ!$A$9,前年度診療実績!$A$7:$BL$70,8,TRUE),"")</f>
        <v>0</v>
      </c>
      <c r="I9" s="1184">
        <f>IFERROR(VLOOKUP(別紙22診療実績とりまとめ!$A$9,前年度診療実績!$A$7:$BL$70,9,TRUE),"")</f>
        <v>0</v>
      </c>
      <c r="J9" s="1184">
        <f>IFERROR(VLOOKUP(別紙22診療実績とりまとめ!$A$9,前年度診療実績!$A$7:$BL$70,10,TRUE),"")</f>
        <v>11</v>
      </c>
      <c r="K9" s="1184">
        <f>IFERROR(VLOOKUP(別紙22診療実績とりまとめ!$A$9,前年度診療実績!$A$7:$BL$70,11,TRUE),"")</f>
        <v>8</v>
      </c>
      <c r="L9" s="1184">
        <f>IFERROR(VLOOKUP(別紙22診療実績とりまとめ!$A$9,前年度診療実績!$A$7:$BL$70,12,TRUE),"")</f>
        <v>0</v>
      </c>
      <c r="M9" s="1184">
        <f>IFERROR(VLOOKUP(別紙22診療実績とりまとめ!$A$9,前年度診療実績!$A$7:$BL$70,13,TRUE),"")</f>
        <v>0</v>
      </c>
      <c r="N9" s="1184">
        <f>IFERROR(VLOOKUP(別紙22診療実績とりまとめ!$A$9,前年度診療実績!$A$7:$BL$70,14,TRUE),"")</f>
        <v>9</v>
      </c>
      <c r="O9" s="1184">
        <f>IFERROR(VLOOKUP(別紙22診療実績とりまとめ!$A$9,前年度診療実績!$A$7:$BL$70,15,TRUE),"")</f>
        <v>12</v>
      </c>
      <c r="P9" s="1184">
        <f>IFERROR(VLOOKUP(別紙22診療実績とりまとめ!$A$9,前年度診療実績!$A$7:$BL$70,16,TRUE),"")</f>
        <v>48</v>
      </c>
      <c r="Q9" s="1184">
        <f>IFERROR(VLOOKUP(別紙22診療実績とりまとめ!$A$9,前年度診療実績!$A$7:$BL$70,17,TRUE),"")</f>
        <v>0</v>
      </c>
      <c r="R9" s="1184">
        <f>IFERROR(VLOOKUP(別紙22診療実績とりまとめ!$A$9,前年度診療実績!$A$7:$BL$70,18,TRUE),"")</f>
        <v>12</v>
      </c>
      <c r="S9" s="1184">
        <f>IFERROR(VLOOKUP(別紙22診療実績とりまとめ!$A$9,前年度診療実績!$A$7:$BL$70,19,TRUE),"")</f>
        <v>0</v>
      </c>
      <c r="T9" s="1184">
        <f>IFERROR(VLOOKUP(別紙22診療実績とりまとめ!$A$9,前年度診療実績!$A$7:$BL$70,20,TRUE),"")</f>
        <v>0</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0</v>
      </c>
      <c r="X9" s="1184">
        <f>IFERROR(VLOOKUP(別紙22診療実績とりまとめ!$A$9,前年度診療実績!$A$7:$BL$70,24,TRUE),"")</f>
        <v>12</v>
      </c>
      <c r="Y9" s="1184">
        <f>IFERROR(VLOOKUP(別紙22診療実績とりまとめ!$A$9,前年度診療実績!$A$7:$BL$70,25,TRUE),"")</f>
        <v>0</v>
      </c>
      <c r="Z9" s="1184">
        <f>IFERROR(VLOOKUP(別紙22診療実績とりまとめ!$A$9,前年度診療実績!$A$7:$BL$70,26,TRUE),"")</f>
        <v>0</v>
      </c>
      <c r="AA9" s="1184">
        <f>IFERROR(VLOOKUP(別紙22診療実績とりまとめ!$A$9,前年度診療実績!$A$7:$BL$70,27,TRUE),"")</f>
        <v>13</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17</v>
      </c>
      <c r="AE9" s="1184">
        <f>IFERROR(VLOOKUP(別紙22診療実績とりまとめ!$A$9,前年度診療実績!$A$7:$BL$70,31,TRUE),"")</f>
        <v>17</v>
      </c>
      <c r="AF9" s="1184">
        <f>IFERROR(VLOOKUP(別紙22診療実績とりまとめ!$A$9,前年度診療実績!$A$7:$BL$70,32,TRUE),"")</f>
        <v>0</v>
      </c>
      <c r="AG9" s="1184">
        <f>IFERROR(VLOOKUP(別紙22診療実績とりまとめ!$A$9,前年度診療実績!$A$7:$BL$70,33,TRUE),"")</f>
        <v>0</v>
      </c>
      <c r="AH9" s="1184">
        <f>IFERROR(VLOOKUP(別紙22診療実績とりまとめ!$A$9,前年度診療実績!$A$7:$BL$70,34,TRUE),"")</f>
        <v>0</v>
      </c>
      <c r="AI9" s="1184">
        <f>IFERROR(VLOOKUP(別紙22診療実績とりまとめ!$A$9,前年度診療実績!$A$7:$BL$70,35,TRUE),"")</f>
        <v>2</v>
      </c>
      <c r="AJ9" s="1184">
        <f>IFERROR(VLOOKUP(別紙22診療実績とりまとめ!$A$9,前年度診療実績!$A$7:$BL$70,36,TRUE),"")</f>
        <v>0</v>
      </c>
      <c r="AK9" s="1184">
        <f>IFERROR(VLOOKUP(別紙22診療実績とりまとめ!$A$9,前年度診療実績!$A$7:$BL$70,37,TRUE),"")</f>
        <v>0</v>
      </c>
      <c r="AL9" s="1184">
        <f>IFERROR(VLOOKUP(別紙22診療実績とりまとめ!$A$9,前年度診療実績!$A$7:$BL$70,38,TRUE),"")</f>
        <v>0</v>
      </c>
      <c r="AM9" s="1184">
        <f>IFERROR(VLOOKUP(別紙22診療実績とりまとめ!$A$9,前年度診療実績!$A$7:$BL$70,39,TRUE),"")</f>
        <v>0</v>
      </c>
      <c r="AN9" s="1184">
        <f>IFERROR(VLOOKUP(別紙22診療実績とりまとめ!$A$9,前年度診療実績!$A$7:$BL$70,40,TRUE),"")</f>
        <v>0</v>
      </c>
      <c r="AO9" s="1184">
        <f>IFERROR(VLOOKUP(別紙22診療実績とりまとめ!$A$9,前年度診療実績!$A$7:$BL$70,41,TRUE),"")</f>
        <v>0</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0</v>
      </c>
      <c r="AU9" s="1184">
        <f>IFERROR(VLOOKUP(別紙22診療実績とりまとめ!$A$9,前年度診療実績!$A$7:$BL$70,47,TRUE),"")</f>
        <v>0</v>
      </c>
      <c r="AV9" s="1184">
        <f>IFERROR(VLOOKUP(別紙22診療実績とりまとめ!$A$9,前年度診療実績!$A$7:$BL$70,48,TRUE),"")</f>
        <v>0</v>
      </c>
      <c r="AW9" s="1184">
        <f>IFERROR(VLOOKUP(別紙22診療実績とりまとめ!$A$9,前年度診療実績!$A$7:$BL$70,49,TRUE),"")</f>
        <v>0</v>
      </c>
      <c r="AX9" s="1184">
        <f>IFERROR(VLOOKUP(別紙22診療実績とりまとめ!$A$9,前年度診療実績!$A$7:$BL$70,50,TRUE),"")</f>
        <v>0</v>
      </c>
      <c r="AY9" s="1184">
        <f>IFERROR(VLOOKUP(別紙22診療実績とりまとめ!$A$9,前年度診療実績!$A$7:$BL$70,51,TRUE),"")</f>
        <v>0</v>
      </c>
      <c r="AZ9" s="1184">
        <f>IFERROR(VLOOKUP(別紙22診療実績とりまとめ!$A$9,前年度診療実績!$A$7:$BL$70,52,TRUE),"")</f>
        <v>0</v>
      </c>
      <c r="BA9" s="1184">
        <f>IFERROR(VLOOKUP(別紙22診療実績とりまとめ!$A$9,前年度診療実績!$A$7:$BL$70,53,TRUE),"")</f>
        <v>0</v>
      </c>
      <c r="BB9" s="1184">
        <f>IFERROR(VLOOKUP(別紙22診療実績とりまとめ!$A$9,前年度診療実績!$A$7:$BL$70,54,TRUE),"")</f>
        <v>444</v>
      </c>
      <c r="BC9" s="1184">
        <f>IFERROR(VLOOKUP(別紙22診療実績とりまとめ!$A$9,前年度診療実績!$A$7:$BL$70,55,TRUE),"")</f>
        <v>113</v>
      </c>
      <c r="BD9" s="1184">
        <f>IFERROR(VLOOKUP(別紙22診療実績とりまとめ!$A$9,前年度診療実績!$A$7:$BL$70,56,TRUE),"")</f>
        <v>94</v>
      </c>
      <c r="BE9" s="1184">
        <f>IFERROR(VLOOKUP(別紙22診療実績とりまとめ!$A$9,前年度診療実績!$A$7:$BL$70,57,TRUE),"")</f>
        <v>72</v>
      </c>
      <c r="BF9" s="1184">
        <f>IFERROR(VLOOKUP(別紙22診療実績とりまとめ!$A$9,前年度診療実績!$A$7:$BL$70,58,TRUE),"")</f>
        <v>59</v>
      </c>
      <c r="BG9" s="1184">
        <f>IFERROR(VLOOKUP(別紙22診療実績とりまとめ!$A$9,前年度診療実績!$A$7:$BL$70,59,TRUE),"")</f>
        <v>408</v>
      </c>
      <c r="BH9" s="1184">
        <f>IFERROR(VLOOKUP(別紙22診療実績とりまとめ!$A$9,前年度診療実績!$A$7:$BL$70,60,TRUE),"")</f>
        <v>18</v>
      </c>
      <c r="BI9" s="1184">
        <f>IFERROR(VLOOKUP(別紙22診療実績とりまとめ!$A$9,前年度診療実績!$A$7:$BL$70,61,TRUE),"")</f>
        <v>216</v>
      </c>
      <c r="BJ9" s="1184">
        <f>IFERROR(VLOOKUP(別紙22診療実績とりまとめ!$A$9,前年度診療実績!$A$7:$BL$70,62,TRUE),"")</f>
        <v>44</v>
      </c>
      <c r="BK9" s="1184">
        <f>IFERROR(VLOOKUP(別紙22診療実績とりまとめ!$A$9,前年度診療実績!$A$7:$BL$70,63,TRUE),"")</f>
        <v>528</v>
      </c>
      <c r="BL9" s="1185">
        <f>IFERROR(VLOOKUP(別紙22診療実績とりまとめ!$A$9,前年度診療実績!$A$7:$BL$70,64,TRUE),"")</f>
        <v>3</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50" zoomScaleNormal="50" zoomScaleSheetLayoutView="50" zoomScalePageLayoutView="50" workbookViewId="0">
      <pane xSplit="2" ySplit="6" topLeftCell="C31" activePane="bottomRight" state="frozen"/>
      <selection sqref="A1:W1"/>
      <selection pane="topRight" sqref="A1:W1"/>
      <selection pane="bottomLeft" sqref="A1:W1"/>
      <selection pane="bottomRight" activeCell="A36" sqref="A36"/>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4" t="s">
        <v>1674</v>
      </c>
      <c r="B3" s="1879" t="s">
        <v>1350</v>
      </c>
      <c r="C3" s="1880" t="s">
        <v>1351</v>
      </c>
      <c r="D3" s="1881"/>
      <c r="E3" s="1157" t="s">
        <v>1352</v>
      </c>
      <c r="F3" s="1880" t="s">
        <v>1447</v>
      </c>
      <c r="G3" s="1880"/>
      <c r="H3" s="1880"/>
      <c r="I3" s="1880"/>
      <c r="J3" s="1880"/>
      <c r="K3" s="1880"/>
      <c r="L3" s="1880"/>
      <c r="M3" s="1880"/>
      <c r="N3" s="1880"/>
      <c r="O3" s="1880"/>
      <c r="P3" s="1880"/>
      <c r="Q3" s="1880"/>
      <c r="R3" s="1880"/>
      <c r="S3" s="1880"/>
      <c r="T3" s="1880"/>
      <c r="U3" s="1880"/>
      <c r="V3" s="1880"/>
      <c r="W3" s="1880"/>
      <c r="X3" s="1880"/>
      <c r="Y3" s="1880"/>
      <c r="Z3" s="1880"/>
      <c r="AA3" s="1880"/>
      <c r="AB3" s="1880"/>
      <c r="AC3" s="1880"/>
      <c r="AD3" s="1880"/>
      <c r="AE3" s="1880"/>
      <c r="AF3" s="1880"/>
      <c r="AG3" s="1880"/>
      <c r="AH3" s="1880"/>
      <c r="AI3" s="1880"/>
      <c r="AJ3" s="1880"/>
      <c r="AK3" s="1157"/>
      <c r="AL3" s="1880" t="s">
        <v>1353</v>
      </c>
      <c r="AM3" s="1880"/>
      <c r="AN3" s="1880"/>
      <c r="AO3" s="1880"/>
      <c r="AP3" s="1880"/>
      <c r="AQ3" s="1880"/>
      <c r="AR3" s="1880"/>
      <c r="AS3" s="1880"/>
      <c r="AT3" s="1880"/>
      <c r="AU3" s="1880"/>
      <c r="AV3" s="1880"/>
      <c r="AW3" s="1880"/>
      <c r="AX3" s="1880"/>
      <c r="AY3" s="1880"/>
      <c r="AZ3" s="1880"/>
      <c r="BA3" s="1880"/>
      <c r="BB3" s="1157" t="s">
        <v>826</v>
      </c>
      <c r="BC3" s="1880" t="s">
        <v>1354</v>
      </c>
      <c r="BD3" s="1880"/>
      <c r="BE3" s="1880"/>
      <c r="BF3" s="1880"/>
      <c r="BG3" s="1157" t="s">
        <v>1355</v>
      </c>
      <c r="BH3" s="1880" t="s">
        <v>1356</v>
      </c>
      <c r="BI3" s="1880"/>
      <c r="BJ3" s="1880"/>
      <c r="BK3" s="1880"/>
      <c r="BL3" s="1157" t="s">
        <v>1607</v>
      </c>
    </row>
    <row r="4" spans="1:64" s="863" customFormat="1" ht="43.15" customHeight="1" thickBot="1">
      <c r="A4" s="1884"/>
      <c r="B4" s="1879"/>
      <c r="C4" s="1880" t="s">
        <v>1448</v>
      </c>
      <c r="D4" s="1880" t="s">
        <v>1449</v>
      </c>
      <c r="E4" s="1880" t="s">
        <v>1608</v>
      </c>
      <c r="F4" s="1880" t="s">
        <v>1609</v>
      </c>
      <c r="G4" s="1880" t="s">
        <v>1359</v>
      </c>
      <c r="H4" s="1880"/>
      <c r="I4" s="1880"/>
      <c r="J4" s="1880" t="s">
        <v>1360</v>
      </c>
      <c r="K4" s="1880"/>
      <c r="L4" s="1880"/>
      <c r="M4" s="1880"/>
      <c r="N4" s="1880"/>
      <c r="O4" s="1880" t="s">
        <v>1361</v>
      </c>
      <c r="P4" s="1880"/>
      <c r="Q4" s="1880"/>
      <c r="R4" s="1880"/>
      <c r="S4" s="1880" t="s">
        <v>1362</v>
      </c>
      <c r="T4" s="1880"/>
      <c r="U4" s="1880"/>
      <c r="V4" s="1880"/>
      <c r="W4" s="1880"/>
      <c r="X4" s="1880" t="s">
        <v>1363</v>
      </c>
      <c r="Y4" s="1880"/>
      <c r="Z4" s="1880"/>
      <c r="AA4" s="1880"/>
      <c r="AB4" s="1880"/>
      <c r="AC4" s="1880" t="s">
        <v>1451</v>
      </c>
      <c r="AD4" s="1880"/>
      <c r="AE4" s="1880"/>
      <c r="AF4" s="1880" t="s">
        <v>1452</v>
      </c>
      <c r="AG4" s="1880"/>
      <c r="AH4" s="1157" t="s">
        <v>1453</v>
      </c>
      <c r="AI4" s="1880" t="s">
        <v>1454</v>
      </c>
      <c r="AJ4" s="1880"/>
      <c r="AK4" s="1880"/>
      <c r="AL4" s="1880" t="s">
        <v>1364</v>
      </c>
      <c r="AM4" s="1880" t="s">
        <v>1365</v>
      </c>
      <c r="AN4" s="1880"/>
      <c r="AO4" s="1880"/>
      <c r="AP4" s="1880"/>
      <c r="AQ4" s="1880"/>
      <c r="AR4" s="1880"/>
      <c r="AS4" s="1880"/>
      <c r="AT4" s="1880" t="s">
        <v>1366</v>
      </c>
      <c r="AU4" s="1880"/>
      <c r="AV4" s="1880"/>
      <c r="AW4" s="1880"/>
      <c r="AX4" s="1880"/>
      <c r="AY4" s="1880"/>
      <c r="AZ4" s="1880"/>
      <c r="BA4" s="1880"/>
      <c r="BB4" s="1880" t="s">
        <v>1610</v>
      </c>
      <c r="BC4" s="1880" t="s">
        <v>1611</v>
      </c>
      <c r="BD4" s="1880" t="s">
        <v>1369</v>
      </c>
      <c r="BE4" s="1880"/>
      <c r="BF4" s="1880"/>
      <c r="BG4" s="1880" t="s">
        <v>1455</v>
      </c>
      <c r="BH4" s="1880" t="s">
        <v>1456</v>
      </c>
      <c r="BI4" s="1880"/>
      <c r="BJ4" s="1880" t="s">
        <v>1457</v>
      </c>
      <c r="BK4" s="1880"/>
      <c r="BL4" s="1883" t="s">
        <v>1612</v>
      </c>
    </row>
    <row r="5" spans="1:64" s="863" customFormat="1" ht="43.15" customHeight="1" thickBot="1">
      <c r="A5" s="1884"/>
      <c r="B5" s="1879"/>
      <c r="C5" s="1880"/>
      <c r="D5" s="1880"/>
      <c r="E5" s="1880"/>
      <c r="F5" s="1880"/>
      <c r="G5" s="1882" t="s">
        <v>1371</v>
      </c>
      <c r="H5" s="1882" t="s">
        <v>1458</v>
      </c>
      <c r="I5" s="1882"/>
      <c r="J5" s="1882" t="s">
        <v>1373</v>
      </c>
      <c r="K5" s="1882" t="s">
        <v>1374</v>
      </c>
      <c r="L5" s="1882"/>
      <c r="M5" s="1882" t="s">
        <v>1375</v>
      </c>
      <c r="N5" s="1882" t="s">
        <v>1376</v>
      </c>
      <c r="O5" s="1882" t="s">
        <v>1377</v>
      </c>
      <c r="P5" s="1882" t="s">
        <v>1378</v>
      </c>
      <c r="Q5" s="1882"/>
      <c r="R5" s="1882" t="s">
        <v>1379</v>
      </c>
      <c r="S5" s="1882" t="s">
        <v>1377</v>
      </c>
      <c r="T5" s="1882" t="s">
        <v>1380</v>
      </c>
      <c r="U5" s="1882"/>
      <c r="V5" s="1882" t="s">
        <v>1381</v>
      </c>
      <c r="W5" s="1882" t="s">
        <v>1382</v>
      </c>
      <c r="X5" s="1882" t="s">
        <v>1383</v>
      </c>
      <c r="Y5" s="1882" t="s">
        <v>1384</v>
      </c>
      <c r="Z5" s="1882" t="s">
        <v>1385</v>
      </c>
      <c r="AA5" s="1882" t="s">
        <v>1386</v>
      </c>
      <c r="AB5" s="1882" t="s">
        <v>1459</v>
      </c>
      <c r="AC5" s="1882" t="s">
        <v>1460</v>
      </c>
      <c r="AD5" s="1882" t="s">
        <v>1461</v>
      </c>
      <c r="AE5" s="1882"/>
      <c r="AF5" s="1882" t="s">
        <v>1371</v>
      </c>
      <c r="AG5" s="1882" t="s">
        <v>1372</v>
      </c>
      <c r="AH5" s="1882" t="s">
        <v>1371</v>
      </c>
      <c r="AI5" s="1882" t="s">
        <v>1460</v>
      </c>
      <c r="AJ5" s="1882" t="s">
        <v>1461</v>
      </c>
      <c r="AK5" s="1882"/>
      <c r="AL5" s="1880"/>
      <c r="AM5" s="1882" t="s">
        <v>1387</v>
      </c>
      <c r="AN5" s="1882" t="s">
        <v>1388</v>
      </c>
      <c r="AO5" s="1882" t="s">
        <v>1389</v>
      </c>
      <c r="AP5" s="1882" t="s">
        <v>1390</v>
      </c>
      <c r="AQ5" s="1882" t="s">
        <v>1391</v>
      </c>
      <c r="AR5" s="1882" t="s">
        <v>1392</v>
      </c>
      <c r="AS5" s="1882" t="s">
        <v>1393</v>
      </c>
      <c r="AT5" s="1882" t="s">
        <v>1394</v>
      </c>
      <c r="AU5" s="1882" t="s">
        <v>1395</v>
      </c>
      <c r="AV5" s="1882" t="s">
        <v>1396</v>
      </c>
      <c r="AW5" s="1882" t="s">
        <v>1397</v>
      </c>
      <c r="AX5" s="1882" t="s">
        <v>1462</v>
      </c>
      <c r="AY5" s="1882" t="s">
        <v>1398</v>
      </c>
      <c r="AZ5" s="1882" t="s">
        <v>1463</v>
      </c>
      <c r="BA5" s="1882" t="s">
        <v>1464</v>
      </c>
      <c r="BB5" s="1880"/>
      <c r="BC5" s="1880"/>
      <c r="BD5" s="1880" t="s">
        <v>1399</v>
      </c>
      <c r="BE5" s="1880" t="s">
        <v>1400</v>
      </c>
      <c r="BF5" s="1880" t="s">
        <v>1401</v>
      </c>
      <c r="BG5" s="1880"/>
      <c r="BH5" s="1882" t="s">
        <v>1465</v>
      </c>
      <c r="BI5" s="1882" t="s">
        <v>1466</v>
      </c>
      <c r="BJ5" s="1882" t="s">
        <v>1467</v>
      </c>
      <c r="BK5" s="1882" t="s">
        <v>1466</v>
      </c>
      <c r="BL5" s="1883"/>
    </row>
    <row r="6" spans="1:64" s="863" customFormat="1" ht="87" customHeight="1" thickBot="1">
      <c r="A6" s="1884"/>
      <c r="B6" s="1879"/>
      <c r="C6" s="1880"/>
      <c r="D6" s="1880"/>
      <c r="E6" s="1880"/>
      <c r="F6" s="1880"/>
      <c r="G6" s="1882"/>
      <c r="H6" s="1158"/>
      <c r="I6" s="1158" t="s">
        <v>1468</v>
      </c>
      <c r="J6" s="1882"/>
      <c r="K6" s="1158"/>
      <c r="L6" s="1158" t="s">
        <v>1468</v>
      </c>
      <c r="M6" s="1882"/>
      <c r="N6" s="1882"/>
      <c r="O6" s="1882"/>
      <c r="P6" s="1158"/>
      <c r="Q6" s="1158" t="s">
        <v>1468</v>
      </c>
      <c r="R6" s="1882"/>
      <c r="S6" s="1882"/>
      <c r="T6" s="1158"/>
      <c r="U6" s="1158" t="s">
        <v>1468</v>
      </c>
      <c r="V6" s="1882"/>
      <c r="W6" s="1882"/>
      <c r="X6" s="1882"/>
      <c r="Y6" s="1882"/>
      <c r="Z6" s="1882"/>
      <c r="AA6" s="1882"/>
      <c r="AB6" s="1882"/>
      <c r="AC6" s="1882"/>
      <c r="AD6" s="1158"/>
      <c r="AE6" s="1158" t="s">
        <v>1468</v>
      </c>
      <c r="AF6" s="1882"/>
      <c r="AG6" s="1882"/>
      <c r="AH6" s="1882"/>
      <c r="AI6" s="1882"/>
      <c r="AJ6" s="1158"/>
      <c r="AK6" s="1158" t="s">
        <v>1468</v>
      </c>
      <c r="AL6" s="1880"/>
      <c r="AM6" s="1882"/>
      <c r="AN6" s="1882"/>
      <c r="AO6" s="1882"/>
      <c r="AP6" s="1882"/>
      <c r="AQ6" s="1882"/>
      <c r="AR6" s="1882"/>
      <c r="AS6" s="1882"/>
      <c r="AT6" s="1882"/>
      <c r="AU6" s="1882"/>
      <c r="AV6" s="1882"/>
      <c r="AW6" s="1882"/>
      <c r="AX6" s="1882"/>
      <c r="AY6" s="1882"/>
      <c r="AZ6" s="1882"/>
      <c r="BA6" s="1882"/>
      <c r="BB6" s="1880"/>
      <c r="BC6" s="1880"/>
      <c r="BD6" s="1880"/>
      <c r="BE6" s="1880"/>
      <c r="BF6" s="1880"/>
      <c r="BG6" s="1880"/>
      <c r="BH6" s="1882"/>
      <c r="BI6" s="1882"/>
      <c r="BJ6" s="1882"/>
      <c r="BK6" s="1882"/>
      <c r="BL6" s="1883"/>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55" zoomScaleNormal="90" zoomScaleSheetLayoutView="55" workbookViewId="0">
      <selection activeCell="F41" sqref="F41"/>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3" t="str">
        <f>IF(COUNTIF((W6:W320),"未入力あり"),"※このシートには未入力があります。「未入力あり」の行を確認してください。↓","✔チェック欄に未入力なし")</f>
        <v>✔チェック欄に未入力なし</v>
      </c>
      <c r="W1" s="1233"/>
    </row>
    <row r="2" spans="1:26" ht="28.5" customHeight="1">
      <c r="A2" s="1243" t="s">
        <v>1640</v>
      </c>
      <c r="B2" s="1243"/>
      <c r="C2" s="1243"/>
      <c r="D2" s="1243"/>
      <c r="E2" s="1243"/>
      <c r="F2" s="1243"/>
      <c r="G2" s="1243"/>
      <c r="H2" s="1243"/>
      <c r="I2" s="1243"/>
      <c r="J2" s="1243"/>
      <c r="K2" s="1243"/>
      <c r="L2" s="1243"/>
      <c r="M2" s="1243"/>
      <c r="N2" s="1243"/>
      <c r="O2" s="1243"/>
      <c r="P2" s="1243"/>
      <c r="Q2" s="1243"/>
      <c r="R2" s="1243"/>
      <c r="S2" s="1243"/>
      <c r="T2" s="1243"/>
      <c r="U2" s="1243"/>
      <c r="V2" s="1233"/>
      <c r="W2" s="1233"/>
      <c r="X2" s="143"/>
      <c r="Y2" s="148"/>
    </row>
    <row r="3" spans="1:26" ht="24.95" customHeight="1">
      <c r="A3" s="1250" t="s">
        <v>1675</v>
      </c>
      <c r="B3" s="1250"/>
      <c r="C3" s="1250"/>
      <c r="D3" s="1250"/>
      <c r="E3" s="1250"/>
      <c r="F3" s="1250"/>
      <c r="G3" s="1250"/>
      <c r="H3" s="1250"/>
      <c r="I3" s="1250"/>
      <c r="J3" s="1250"/>
      <c r="K3" s="1250"/>
      <c r="L3" s="1250"/>
      <c r="M3" s="1250"/>
      <c r="N3" s="1250"/>
      <c r="O3" s="1250"/>
      <c r="P3" s="1250"/>
      <c r="Q3" s="1250"/>
      <c r="R3" s="1250"/>
      <c r="S3" s="1250"/>
      <c r="T3" s="1250"/>
      <c r="U3" s="1250"/>
      <c r="V3" s="1233"/>
      <c r="W3" s="1233"/>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3"/>
      <c r="W4" s="1233"/>
      <c r="Y4" s="828"/>
    </row>
    <row r="5" spans="1:26" ht="25.5" customHeight="1" thickBot="1">
      <c r="A5" s="143" t="s">
        <v>1662</v>
      </c>
      <c r="G5" s="1169" t="s">
        <v>1762</v>
      </c>
      <c r="H5" s="3" t="s">
        <v>1694</v>
      </c>
      <c r="P5" s="1215" t="s">
        <v>1763</v>
      </c>
      <c r="Q5" s="1216"/>
      <c r="R5" s="1217"/>
      <c r="V5" s="1233"/>
      <c r="W5" s="1233"/>
      <c r="Y5" s="117"/>
    </row>
    <row r="6" spans="1:26" ht="20.100000000000001" customHeight="1" thickBot="1">
      <c r="B6" s="3"/>
      <c r="C6" s="3"/>
      <c r="D6" s="3"/>
      <c r="E6" s="3"/>
      <c r="G6" s="1169" t="s">
        <v>1762</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4" t="str">
        <f>表紙!E2</f>
        <v>医療法人徳洲会　松原徳洲会病院</v>
      </c>
      <c r="I11" s="1245"/>
      <c r="J11" s="1245"/>
      <c r="K11" s="1245"/>
      <c r="L11" s="1245"/>
      <c r="M11" s="1245"/>
      <c r="N11" s="1245"/>
      <c r="O11" s="1245"/>
      <c r="P11" s="1245"/>
      <c r="Q11" s="1245"/>
      <c r="R11" s="1245"/>
      <c r="S11" s="1245"/>
      <c r="T11" s="1246"/>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1" t="s">
        <v>1764</v>
      </c>
      <c r="I13" s="1252"/>
      <c r="J13" s="1252"/>
      <c r="K13" s="1252"/>
      <c r="L13" s="1252"/>
      <c r="M13" s="1252"/>
      <c r="N13" s="1252"/>
      <c r="O13" s="1252"/>
      <c r="P13" s="1252"/>
      <c r="Q13" s="1252"/>
      <c r="R13" s="1252"/>
      <c r="S13" s="1252"/>
      <c r="T13" s="1253"/>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2"/>
    </row>
    <row r="16" spans="1:26" ht="20.100000000000001" customHeight="1" thickBot="1">
      <c r="A16" s="167"/>
      <c r="B16" s="168" t="s">
        <v>210</v>
      </c>
      <c r="C16" s="168"/>
      <c r="D16" s="168"/>
      <c r="E16" s="168"/>
      <c r="F16" s="169"/>
      <c r="G16" s="176" t="s">
        <v>211</v>
      </c>
      <c r="H16" s="98" t="s">
        <v>1765</v>
      </c>
      <c r="I16" s="177"/>
      <c r="J16" s="177"/>
      <c r="K16" s="177"/>
      <c r="L16" s="177"/>
      <c r="M16" s="177"/>
      <c r="N16" s="177"/>
      <c r="O16" s="177"/>
      <c r="P16" s="177"/>
      <c r="Q16" s="177"/>
      <c r="R16" s="177"/>
      <c r="S16" s="177"/>
      <c r="T16" s="177"/>
      <c r="U16" s="175"/>
      <c r="V16" s="42">
        <f t="shared" si="0"/>
        <v>16</v>
      </c>
      <c r="Y16" s="117"/>
      <c r="Z16" s="1232"/>
    </row>
    <row r="17" spans="1:30" ht="20.100000000000001" customHeight="1" thickBot="1">
      <c r="A17" s="167"/>
      <c r="B17" s="168" t="s">
        <v>212</v>
      </c>
      <c r="C17" s="170"/>
      <c r="D17" s="170"/>
      <c r="E17" s="170"/>
      <c r="F17" s="169"/>
      <c r="G17" s="40"/>
      <c r="H17" s="99" t="s">
        <v>1766</v>
      </c>
      <c r="I17" s="1254" t="s">
        <v>1767</v>
      </c>
      <c r="J17" s="1255"/>
      <c r="K17" s="1255"/>
      <c r="L17" s="1255"/>
      <c r="M17" s="1255"/>
      <c r="N17" s="1255"/>
      <c r="O17" s="1255"/>
      <c r="P17" s="1255"/>
      <c r="Q17" s="1255"/>
      <c r="R17" s="1255"/>
      <c r="S17" s="1255"/>
      <c r="T17" s="1256"/>
      <c r="U17" s="175"/>
      <c r="V17" s="42">
        <f t="shared" si="0"/>
        <v>17</v>
      </c>
      <c r="Y17" s="117"/>
      <c r="Z17" s="1232"/>
    </row>
    <row r="18" spans="1:30" ht="21" customHeight="1" thickBot="1">
      <c r="A18" s="159"/>
      <c r="B18" s="160" t="s">
        <v>208</v>
      </c>
      <c r="C18" s="162"/>
      <c r="D18" s="162"/>
      <c r="E18" s="162"/>
      <c r="F18" s="161"/>
      <c r="G18" s="41"/>
      <c r="H18" s="1"/>
      <c r="I18" s="1234" t="s">
        <v>1768</v>
      </c>
      <c r="J18" s="1235"/>
      <c r="K18" s="1235"/>
      <c r="L18" s="1235"/>
      <c r="M18" s="1235"/>
      <c r="N18" s="1235"/>
      <c r="O18" s="1235"/>
      <c r="P18" s="1235"/>
      <c r="Q18" s="1235"/>
      <c r="R18" s="1235"/>
      <c r="S18" s="1235"/>
      <c r="T18" s="1236"/>
      <c r="U18" s="178"/>
      <c r="V18" s="42">
        <f t="shared" si="0"/>
        <v>18</v>
      </c>
      <c r="Y18" s="117"/>
      <c r="Z18" s="1232"/>
      <c r="AA18" s="143"/>
      <c r="AB18" s="143"/>
      <c r="AC18" s="143"/>
      <c r="AD18" s="143"/>
    </row>
    <row r="19" spans="1:30" ht="20.100000000000001" customHeight="1" thickBot="1">
      <c r="A19" s="167"/>
      <c r="B19" s="168" t="s">
        <v>213</v>
      </c>
      <c r="C19" s="170"/>
      <c r="D19" s="170"/>
      <c r="E19" s="170"/>
      <c r="F19" s="169"/>
      <c r="G19" s="170"/>
      <c r="H19" s="1237" t="s">
        <v>1769</v>
      </c>
      <c r="I19" s="1238"/>
      <c r="J19" s="1238"/>
      <c r="K19" s="1238"/>
      <c r="L19" s="1238"/>
      <c r="M19" s="1238"/>
      <c r="N19" s="1238"/>
      <c r="O19" s="1238"/>
      <c r="P19" s="1238"/>
      <c r="Q19" s="1238"/>
      <c r="R19" s="1238"/>
      <c r="S19" s="1238"/>
      <c r="T19" s="1239"/>
      <c r="U19" s="175"/>
      <c r="V19" s="42">
        <f t="shared" si="0"/>
        <v>19</v>
      </c>
      <c r="Y19" s="117"/>
      <c r="Z19" s="1232"/>
      <c r="AA19" s="143"/>
      <c r="AB19" s="143"/>
      <c r="AC19" s="143"/>
      <c r="AD19" s="143"/>
    </row>
    <row r="20" spans="1:30" ht="20.100000000000001" customHeight="1" thickBot="1">
      <c r="A20" s="167"/>
      <c r="B20" s="168" t="s">
        <v>214</v>
      </c>
      <c r="C20" s="170"/>
      <c r="D20" s="170"/>
      <c r="E20" s="170"/>
      <c r="F20" s="169"/>
      <c r="G20" s="170"/>
      <c r="H20" s="1237" t="s">
        <v>1770</v>
      </c>
      <c r="I20" s="1238"/>
      <c r="J20" s="1238"/>
      <c r="K20" s="1238"/>
      <c r="L20" s="1238"/>
      <c r="M20" s="1238"/>
      <c r="N20" s="1238"/>
      <c r="O20" s="1238"/>
      <c r="P20" s="1238"/>
      <c r="Q20" s="1238"/>
      <c r="R20" s="1238"/>
      <c r="S20" s="1238"/>
      <c r="T20" s="1239"/>
      <c r="U20" s="175"/>
      <c r="V20" s="42">
        <f t="shared" si="0"/>
        <v>20</v>
      </c>
      <c r="Y20" s="117"/>
      <c r="Z20" s="1232"/>
      <c r="AA20" s="143"/>
      <c r="AB20" s="143"/>
      <c r="AC20" s="143"/>
      <c r="AD20" s="143"/>
    </row>
    <row r="21" spans="1:30" ht="20.100000000000001" customHeight="1" thickBot="1">
      <c r="A21" s="167"/>
      <c r="B21" s="168" t="s">
        <v>215</v>
      </c>
      <c r="C21" s="170"/>
      <c r="D21" s="170"/>
      <c r="E21" s="170"/>
      <c r="F21" s="169"/>
      <c r="G21" s="170"/>
      <c r="H21" s="1240" t="s">
        <v>1771</v>
      </c>
      <c r="I21" s="1241"/>
      <c r="J21" s="1241"/>
      <c r="K21" s="1241"/>
      <c r="L21" s="1241"/>
      <c r="M21" s="1241"/>
      <c r="N21" s="1241"/>
      <c r="O21" s="1241"/>
      <c r="P21" s="1241"/>
      <c r="Q21" s="1241"/>
      <c r="R21" s="1241"/>
      <c r="S21" s="1241"/>
      <c r="T21" s="1242"/>
      <c r="U21" s="175"/>
      <c r="V21" s="42">
        <f t="shared" si="0"/>
        <v>21</v>
      </c>
      <c r="Y21" s="117"/>
      <c r="Z21" s="1232"/>
      <c r="AA21" s="143"/>
      <c r="AB21" s="143"/>
      <c r="AC21" s="143"/>
      <c r="AD21" s="143"/>
    </row>
    <row r="22" spans="1:30" ht="20.100000000000001" customHeight="1" thickBot="1">
      <c r="A22" s="167"/>
      <c r="B22" s="168" t="s">
        <v>216</v>
      </c>
      <c r="C22" s="170"/>
      <c r="D22" s="170"/>
      <c r="E22" s="170"/>
      <c r="F22" s="169"/>
      <c r="G22" s="170"/>
      <c r="H22" s="1237" t="s">
        <v>1772</v>
      </c>
      <c r="I22" s="1238"/>
      <c r="J22" s="1238"/>
      <c r="K22" s="1238"/>
      <c r="L22" s="1238"/>
      <c r="M22" s="1238"/>
      <c r="N22" s="1238"/>
      <c r="O22" s="1238"/>
      <c r="P22" s="1238"/>
      <c r="Q22" s="1238"/>
      <c r="R22" s="1238"/>
      <c r="S22" s="1238"/>
      <c r="T22" s="1239"/>
      <c r="U22" s="175"/>
      <c r="V22" s="42">
        <f t="shared" si="0"/>
        <v>22</v>
      </c>
      <c r="Y22" s="117"/>
      <c r="Z22" s="1232"/>
      <c r="AA22" s="143"/>
      <c r="AB22" s="143"/>
      <c r="AC22" s="143"/>
      <c r="AD22" s="143"/>
    </row>
    <row r="23" spans="1:30" ht="20.100000000000001" customHeight="1" thickBot="1">
      <c r="A23" s="167"/>
      <c r="B23" s="168" t="s">
        <v>217</v>
      </c>
      <c r="C23" s="168"/>
      <c r="D23" s="168"/>
      <c r="E23" s="168"/>
      <c r="F23" s="169"/>
      <c r="G23" s="170"/>
      <c r="H23" s="1247" t="s">
        <v>1773</v>
      </c>
      <c r="I23" s="1248"/>
      <c r="J23" s="1248"/>
      <c r="K23" s="1248"/>
      <c r="L23" s="1248"/>
      <c r="M23" s="1248"/>
      <c r="N23" s="1248"/>
      <c r="O23" s="1248"/>
      <c r="P23" s="1248"/>
      <c r="Q23" s="1248"/>
      <c r="R23" s="1248"/>
      <c r="S23" s="1248"/>
      <c r="T23" s="1249"/>
      <c r="U23" s="175"/>
      <c r="V23" s="42">
        <f t="shared" si="0"/>
        <v>23</v>
      </c>
      <c r="Y23" s="117"/>
      <c r="Z23" s="1232"/>
      <c r="AA23" s="143"/>
      <c r="AB23" s="143"/>
      <c r="AC23" s="143"/>
      <c r="AD23" s="143"/>
    </row>
    <row r="24" spans="1:30" ht="20.100000000000001" customHeight="1" thickBot="1">
      <c r="A24" s="167"/>
      <c r="B24" s="168" t="s">
        <v>218</v>
      </c>
      <c r="C24" s="168"/>
      <c r="D24" s="168"/>
      <c r="E24" s="168"/>
      <c r="F24" s="169"/>
      <c r="G24" s="170"/>
      <c r="H24" s="1247" t="s">
        <v>1773</v>
      </c>
      <c r="I24" s="1248"/>
      <c r="J24" s="1248"/>
      <c r="K24" s="1248"/>
      <c r="L24" s="1248"/>
      <c r="M24" s="1248"/>
      <c r="N24" s="1248"/>
      <c r="O24" s="1248"/>
      <c r="P24" s="1248"/>
      <c r="Q24" s="1248"/>
      <c r="R24" s="1248"/>
      <c r="S24" s="1248"/>
      <c r="T24" s="1249"/>
      <c r="U24" s="175"/>
      <c r="V24" s="42">
        <f t="shared" si="0"/>
        <v>24</v>
      </c>
      <c r="Y24" s="117"/>
      <c r="Z24" s="1232"/>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2"/>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249</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237</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0</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12</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4</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576</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8" t="s">
        <v>233</v>
      </c>
      <c r="E35" s="1229"/>
      <c r="F35" s="1229"/>
      <c r="G35" s="1229"/>
      <c r="H35" s="1229"/>
      <c r="I35" s="1229"/>
      <c r="J35" s="1229"/>
      <c r="K35" s="1229"/>
      <c r="L35" s="1229"/>
      <c r="M35" s="1229"/>
      <c r="N35" s="1229"/>
      <c r="O35" s="1229"/>
      <c r="P35" s="1229"/>
      <c r="Q35" s="1229"/>
      <c r="R35" s="1229"/>
      <c r="S35" s="1229"/>
      <c r="T35" s="1229"/>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19.34</v>
      </c>
      <c r="J40" s="169" t="s">
        <v>232</v>
      </c>
      <c r="K40" s="5"/>
      <c r="L40" s="5"/>
      <c r="M40" s="5"/>
      <c r="N40" s="5"/>
      <c r="O40" s="169"/>
      <c r="P40" s="169"/>
      <c r="Q40" s="169"/>
      <c r="R40" s="288">
        <v>36</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0.18</v>
      </c>
      <c r="J41" s="169" t="s">
        <v>232</v>
      </c>
      <c r="K41" s="5"/>
      <c r="L41" s="5"/>
      <c r="M41" s="5"/>
      <c r="N41" s="5"/>
      <c r="O41" s="169"/>
      <c r="P41" s="169"/>
      <c r="Q41" s="169"/>
      <c r="R41" s="288">
        <v>5</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0.56000000000000005</v>
      </c>
      <c r="J42" s="169" t="s">
        <v>232</v>
      </c>
      <c r="K42" s="169"/>
      <c r="L42" s="169"/>
      <c r="M42" s="169"/>
      <c r="N42" s="169"/>
      <c r="O42" s="169"/>
      <c r="P42" s="169"/>
      <c r="Q42" s="169"/>
      <c r="R42" s="288">
        <v>14</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0.48</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0.22</v>
      </c>
      <c r="J44" s="169" t="s">
        <v>232</v>
      </c>
      <c r="K44" s="169"/>
      <c r="L44" s="169"/>
      <c r="M44" s="169"/>
      <c r="N44" s="169"/>
      <c r="O44" s="169"/>
      <c r="P44" s="169"/>
      <c r="Q44" s="169"/>
      <c r="R44" s="288">
        <v>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23.35</v>
      </c>
      <c r="J45" s="169" t="s">
        <v>232</v>
      </c>
      <c r="K45" s="169"/>
      <c r="L45" s="169"/>
      <c r="M45" s="169"/>
      <c r="N45" s="169"/>
      <c r="O45" s="169"/>
      <c r="P45" s="169"/>
      <c r="Q45" s="169"/>
      <c r="R45" s="288">
        <v>248</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9.02</v>
      </c>
      <c r="J46" s="169" t="s">
        <v>232</v>
      </c>
      <c r="K46" s="169"/>
      <c r="L46" s="169"/>
      <c r="M46" s="169"/>
      <c r="N46" s="169"/>
      <c r="O46" s="169"/>
      <c r="P46" s="169"/>
      <c r="Q46" s="169"/>
      <c r="R46" s="288">
        <v>14</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33</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5</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3</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6</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0.9</v>
      </c>
      <c r="J52" s="169" t="s">
        <v>232</v>
      </c>
      <c r="K52" s="169"/>
      <c r="L52" s="169"/>
      <c r="M52" s="169"/>
      <c r="N52" s="169"/>
      <c r="O52" s="169"/>
      <c r="P52" s="169"/>
      <c r="Q52" s="169"/>
      <c r="R52" s="288">
        <v>2</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1</v>
      </c>
      <c r="J54" s="169" t="s">
        <v>232</v>
      </c>
      <c r="K54" s="169"/>
      <c r="L54" s="169"/>
      <c r="M54" s="169"/>
      <c r="N54" s="169"/>
      <c r="O54" s="169"/>
      <c r="P54" s="169"/>
      <c r="Q54" s="169"/>
      <c r="R54" s="288">
        <v>20</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0</v>
      </c>
      <c r="J55" s="169" t="s">
        <v>232</v>
      </c>
      <c r="K55" s="169"/>
      <c r="L55" s="169"/>
      <c r="M55" s="169"/>
      <c r="N55" s="169"/>
      <c r="O55" s="169"/>
      <c r="P55" s="169"/>
      <c r="Q55" s="169"/>
      <c r="R55" s="288">
        <v>29</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38</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7</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2</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5</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1</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0.85</v>
      </c>
      <c r="J62" s="169" t="s">
        <v>232</v>
      </c>
      <c r="K62" s="169"/>
      <c r="L62" s="169"/>
      <c r="M62" s="169"/>
      <c r="N62" s="169"/>
      <c r="O62" s="169"/>
      <c r="P62" s="169"/>
      <c r="Q62" s="169"/>
      <c r="R62" s="288">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9</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0.43</v>
      </c>
      <c r="J68" s="169" t="s">
        <v>232</v>
      </c>
      <c r="K68" s="169"/>
      <c r="L68" s="169"/>
      <c r="M68" s="169"/>
      <c r="N68" s="169"/>
      <c r="O68" s="169"/>
      <c r="P68" s="169"/>
      <c r="Q68" s="169"/>
      <c r="R68" s="288">
        <v>0</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1</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0.43</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8</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v>
      </c>
      <c r="J73" s="169" t="s">
        <v>232</v>
      </c>
      <c r="K73" s="169"/>
      <c r="L73" s="169"/>
      <c r="M73" s="169"/>
      <c r="N73" s="169"/>
      <c r="O73" s="169"/>
      <c r="P73" s="169"/>
      <c r="Q73" s="169"/>
      <c r="R73" s="288">
        <v>2</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0.18</v>
      </c>
      <c r="J74" s="169" t="s">
        <v>232</v>
      </c>
      <c r="K74" s="169"/>
      <c r="L74" s="169"/>
      <c r="M74" s="169"/>
      <c r="N74" s="169"/>
      <c r="O74" s="169"/>
      <c r="P74" s="169"/>
      <c r="Q74" s="169"/>
      <c r="R74" s="288">
        <v>0</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0.18</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0.71</v>
      </c>
      <c r="J76" s="169" t="s">
        <v>232</v>
      </c>
      <c r="K76" s="169"/>
      <c r="L76" s="169"/>
      <c r="M76" s="169"/>
      <c r="N76" s="169"/>
      <c r="O76" s="169"/>
      <c r="P76" s="169"/>
      <c r="Q76" s="169"/>
      <c r="R76" s="288">
        <v>0</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0.08</v>
      </c>
      <c r="J77" s="169" t="s">
        <v>232</v>
      </c>
      <c r="K77" s="169"/>
      <c r="L77" s="205"/>
      <c r="M77" s="169"/>
      <c r="N77" s="169"/>
      <c r="O77" s="169"/>
      <c r="P77" s="169"/>
      <c r="Q77" s="169"/>
      <c r="R77" s="288">
        <v>0</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0.08</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0</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0.37</v>
      </c>
      <c r="J81" s="169" t="s">
        <v>232</v>
      </c>
      <c r="K81" s="169"/>
      <c r="L81" s="169"/>
      <c r="M81" s="169"/>
      <c r="N81" s="169"/>
      <c r="O81" s="169"/>
      <c r="P81" s="169"/>
      <c r="Q81" s="169"/>
      <c r="R81" s="288">
        <v>3</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1</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4</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0</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0</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0</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1</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1</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1</v>
      </c>
      <c r="J96" s="169" t="s">
        <v>232</v>
      </c>
      <c r="K96" s="169"/>
      <c r="L96" s="169"/>
      <c r="M96" s="169"/>
      <c r="N96" s="169"/>
      <c r="O96" s="169"/>
      <c r="P96" s="169"/>
      <c r="Q96" s="169"/>
      <c r="R96" s="288">
        <v>5</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0.1</v>
      </c>
      <c r="J97" s="169" t="s">
        <v>232</v>
      </c>
      <c r="K97" s="169"/>
      <c r="L97" s="169"/>
      <c r="M97" s="169"/>
      <c r="N97" s="169"/>
      <c r="O97" s="169"/>
      <c r="P97" s="169"/>
      <c r="Q97" s="169"/>
      <c r="R97" s="288">
        <v>2</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0.71</v>
      </c>
      <c r="J98" s="169" t="s">
        <v>232</v>
      </c>
      <c r="K98" s="169"/>
      <c r="L98" s="169"/>
      <c r="M98" s="169"/>
      <c r="N98" s="169"/>
      <c r="O98" s="169"/>
      <c r="P98" s="169"/>
      <c r="Q98" s="169"/>
      <c r="R98" s="288">
        <v>2</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0.1</v>
      </c>
      <c r="J99" s="169" t="s">
        <v>232</v>
      </c>
      <c r="K99" s="169"/>
      <c r="L99" s="169"/>
      <c r="M99" s="169"/>
      <c r="N99" s="169"/>
      <c r="O99" s="169"/>
      <c r="P99" s="169"/>
      <c r="Q99" s="169"/>
      <c r="R99" s="288">
        <v>0</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0.18</v>
      </c>
      <c r="J100" s="169" t="s">
        <v>232</v>
      </c>
      <c r="K100" s="169"/>
      <c r="L100" s="169"/>
      <c r="M100" s="169"/>
      <c r="N100" s="169"/>
      <c r="O100" s="169"/>
      <c r="P100" s="169"/>
      <c r="Q100" s="169"/>
      <c r="R100" s="288">
        <v>0</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1</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0</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1</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1</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0.05</v>
      </c>
      <c r="J107" s="169" t="s">
        <v>232</v>
      </c>
      <c r="K107" s="169"/>
      <c r="L107" s="169"/>
      <c r="M107" s="169"/>
      <c r="N107" s="169"/>
      <c r="O107" s="169"/>
      <c r="P107" s="169"/>
      <c r="Q107" s="169"/>
      <c r="R107" s="288">
        <v>0</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0.31</v>
      </c>
      <c r="J108" s="169" t="s">
        <v>232</v>
      </c>
      <c r="K108" s="169"/>
      <c r="L108" s="169"/>
      <c r="M108" s="169"/>
      <c r="N108" s="169"/>
      <c r="O108" s="169"/>
      <c r="P108" s="169"/>
      <c r="Q108" s="169"/>
      <c r="R108" s="288">
        <v>0</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0</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0</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1</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0.36</v>
      </c>
      <c r="J116" s="169" t="s">
        <v>232</v>
      </c>
      <c r="K116" s="169"/>
      <c r="L116" s="169"/>
      <c r="M116" s="169"/>
      <c r="N116" s="169"/>
      <c r="O116" s="169"/>
      <c r="P116" s="169"/>
      <c r="Q116" s="169"/>
      <c r="R116" s="288">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2</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0.18</v>
      </c>
      <c r="J121" s="169" t="s">
        <v>232</v>
      </c>
      <c r="K121" s="169"/>
      <c r="L121" s="169"/>
      <c r="M121" s="169"/>
      <c r="N121" s="169"/>
      <c r="O121" s="169"/>
      <c r="P121" s="169"/>
      <c r="Q121" s="169"/>
      <c r="R121" s="288">
        <v>0</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1</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1</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0.24</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0.18</v>
      </c>
      <c r="J130" s="169" t="s">
        <v>232</v>
      </c>
      <c r="K130" s="169"/>
      <c r="L130" s="169"/>
      <c r="M130" s="169"/>
      <c r="N130" s="169"/>
      <c r="O130" s="169"/>
      <c r="P130" s="169"/>
      <c r="Q130" s="169"/>
      <c r="R130" s="288">
        <v>3</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0</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1.07</v>
      </c>
      <c r="J134" s="169" t="s">
        <v>232</v>
      </c>
      <c r="K134" s="169"/>
      <c r="L134" s="169"/>
      <c r="M134" s="169"/>
      <c r="N134" s="169"/>
      <c r="O134" s="169"/>
      <c r="P134" s="169"/>
      <c r="Q134" s="169"/>
      <c r="R134" s="288">
        <v>0</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0</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0</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0</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0.18</v>
      </c>
      <c r="J146" s="169" t="s">
        <v>349</v>
      </c>
      <c r="K146" s="169"/>
      <c r="L146" s="169"/>
      <c r="M146" s="169"/>
      <c r="N146" s="169"/>
      <c r="O146" s="169"/>
      <c r="P146" s="169"/>
      <c r="Q146" s="169"/>
      <c r="R146" s="288">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1</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3</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0.1</v>
      </c>
      <c r="J167" s="169" t="s">
        <v>232</v>
      </c>
      <c r="K167" s="169"/>
      <c r="L167" s="169"/>
      <c r="M167" s="169"/>
      <c r="N167" s="169"/>
      <c r="O167" s="169"/>
      <c r="P167" s="169"/>
      <c r="Q167" s="169"/>
      <c r="R167" s="288">
        <v>0</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0</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0</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1</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0</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0</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1</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6" t="s">
        <v>382</v>
      </c>
      <c r="D184" s="1226"/>
      <c r="E184" s="1226"/>
      <c r="F184" s="1226"/>
      <c r="G184" s="1226"/>
      <c r="H184" s="1230"/>
      <c r="I184" s="288">
        <v>0</v>
      </c>
      <c r="J184" s="169" t="s">
        <v>232</v>
      </c>
      <c r="K184" s="169"/>
      <c r="L184" s="169"/>
      <c r="M184" s="169"/>
      <c r="N184" s="169"/>
      <c r="O184" s="169"/>
      <c r="P184" s="169"/>
      <c r="Q184" s="169"/>
      <c r="R184" s="288">
        <v>1</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0</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0</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0</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6" t="s">
        <v>389</v>
      </c>
      <c r="D191" s="1226"/>
      <c r="E191" s="1226"/>
      <c r="F191" s="1226"/>
      <c r="G191" s="1226"/>
      <c r="H191" s="1230"/>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1</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1</v>
      </c>
      <c r="J196" s="169" t="s">
        <v>232</v>
      </c>
      <c r="K196" s="169"/>
      <c r="L196" s="169"/>
      <c r="M196" s="169"/>
      <c r="N196" s="169"/>
      <c r="O196" s="169"/>
      <c r="P196" s="169"/>
      <c r="Q196" s="169"/>
      <c r="R196" s="288">
        <v>3</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3</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1774</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1775</v>
      </c>
      <c r="I202" s="191" t="s">
        <v>401</v>
      </c>
      <c r="J202" s="229"/>
      <c r="K202" s="229"/>
      <c r="L202" s="229"/>
      <c r="M202" s="229" t="s">
        <v>402</v>
      </c>
      <c r="N202" s="288">
        <v>2</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1775</v>
      </c>
      <c r="I203" s="191" t="s">
        <v>401</v>
      </c>
      <c r="J203" s="229"/>
      <c r="K203" s="229"/>
      <c r="L203" s="229"/>
      <c r="M203" s="229" t="s">
        <v>402</v>
      </c>
      <c r="N203" s="288">
        <v>12</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1775</v>
      </c>
      <c r="I204" s="191" t="s">
        <v>401</v>
      </c>
      <c r="J204" s="229"/>
      <c r="K204" s="229"/>
      <c r="L204" s="229"/>
      <c r="M204" s="229" t="s">
        <v>402</v>
      </c>
      <c r="N204" s="288">
        <v>40</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2"/>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32"/>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75760</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6990</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9.2265047518479406</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5466</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27</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1" t="s">
        <v>1719</v>
      </c>
      <c r="E213" s="1231"/>
      <c r="F213" s="1231"/>
      <c r="G213" s="1231"/>
      <c r="H213" s="1231"/>
      <c r="I213" s="1231"/>
      <c r="J213" s="1231"/>
      <c r="K213" s="1231"/>
      <c r="L213" s="1231"/>
      <c r="M213" s="1231"/>
      <c r="N213" s="1231"/>
      <c r="O213" s="1231"/>
      <c r="P213" s="1231"/>
      <c r="Q213" s="1231"/>
      <c r="R213" s="1231"/>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2406</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3763</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17</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8" t="s">
        <v>422</v>
      </c>
      <c r="F226" s="1219"/>
      <c r="G226" s="1219"/>
      <c r="H226" s="1219"/>
      <c r="I226" s="1219"/>
      <c r="J226" s="1220"/>
      <c r="K226" s="269"/>
      <c r="L226" s="5"/>
      <c r="M226" s="5"/>
      <c r="N226" s="5"/>
      <c r="O226" s="5"/>
      <c r="P226" s="5"/>
      <c r="Q226" s="5"/>
      <c r="R226" s="288">
        <v>21</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49</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0</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49</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0</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3" t="s">
        <v>431</v>
      </c>
      <c r="E234" s="1224"/>
      <c r="F234" s="1224"/>
      <c r="G234" s="1224"/>
      <c r="H234" s="1224"/>
      <c r="I234" s="1224"/>
      <c r="J234" s="1224"/>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5" t="s">
        <v>432</v>
      </c>
      <c r="F235" s="1226"/>
      <c r="G235" s="1226"/>
      <c r="H235" s="1226"/>
      <c r="I235" s="1226"/>
      <c r="J235" s="1227"/>
      <c r="K235" s="269"/>
      <c r="L235" s="5"/>
      <c r="M235" s="5"/>
      <c r="N235" s="5"/>
      <c r="O235" s="5"/>
      <c r="P235" s="5"/>
      <c r="Q235" s="5"/>
      <c r="R235" s="288">
        <v>14</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6</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10</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12</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1</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27</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8" t="s">
        <v>444</v>
      </c>
      <c r="F247" s="1219"/>
      <c r="G247" s="1219"/>
      <c r="H247" s="1219"/>
      <c r="I247" s="1219"/>
      <c r="J247" s="1220"/>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24</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24</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0</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0</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0</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8" t="s">
        <v>453</v>
      </c>
      <c r="F257" s="1219"/>
      <c r="G257" s="1219"/>
      <c r="H257" s="1219"/>
      <c r="I257" s="1219"/>
      <c r="J257" s="1220"/>
      <c r="K257" s="269"/>
      <c r="L257" s="5"/>
      <c r="M257" s="5"/>
      <c r="N257" s="5"/>
      <c r="O257" s="5"/>
      <c r="P257" s="5"/>
      <c r="Q257" s="5"/>
      <c r="R257" s="288">
        <v>0</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8" t="s">
        <v>456</v>
      </c>
      <c r="F260" s="1219"/>
      <c r="G260" s="1219"/>
      <c r="H260" s="1219"/>
      <c r="I260" s="1219"/>
      <c r="J260" s="1220"/>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8" t="s">
        <v>458</v>
      </c>
      <c r="F262" s="1219"/>
      <c r="G262" s="1219"/>
      <c r="H262" s="1219"/>
      <c r="I262" s="1219"/>
      <c r="J262" s="1220"/>
      <c r="K262" s="269"/>
      <c r="L262" s="5"/>
      <c r="M262" s="5"/>
      <c r="N262" s="5"/>
      <c r="O262" s="5"/>
      <c r="P262" s="5"/>
      <c r="Q262" s="5"/>
      <c r="R262" s="288">
        <v>1</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0</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0</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0</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0</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0</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0</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0</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0</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0</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90</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76</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42</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1776</v>
      </c>
      <c r="S296" s="1221" t="s">
        <v>478</v>
      </c>
      <c r="T296" s="1222"/>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1776</v>
      </c>
      <c r="S297" s="1221" t="s">
        <v>478</v>
      </c>
      <c r="T297" s="1222"/>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21" t="s">
        <v>478</v>
      </c>
      <c r="T298" s="1222"/>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21" t="s">
        <v>478</v>
      </c>
      <c r="T299" s="1222"/>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21" t="s">
        <v>478</v>
      </c>
      <c r="T300" s="1222"/>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21" t="s">
        <v>478</v>
      </c>
      <c r="T301" s="1222"/>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21" t="s">
        <v>478</v>
      </c>
      <c r="T302" s="1222"/>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21" t="s">
        <v>478</v>
      </c>
      <c r="T303" s="1222"/>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21" t="s">
        <v>478</v>
      </c>
      <c r="T305" s="1222"/>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21" t="s">
        <v>478</v>
      </c>
      <c r="T306" s="1222"/>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21" t="s">
        <v>478</v>
      </c>
      <c r="T309" s="1222"/>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21" t="s">
        <v>478</v>
      </c>
      <c r="T310" s="1222"/>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21" t="s">
        <v>478</v>
      </c>
      <c r="T311" s="1222"/>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1777</v>
      </c>
      <c r="S315" s="1221" t="s">
        <v>478</v>
      </c>
      <c r="T315" s="1222"/>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1776</v>
      </c>
      <c r="S316" s="1221" t="s">
        <v>478</v>
      </c>
      <c r="T316" s="1222"/>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1777</v>
      </c>
      <c r="S320" s="1221" t="s">
        <v>478</v>
      </c>
      <c r="T320" s="1222"/>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60" t="s">
        <v>503</v>
      </c>
      <c r="C2" s="1260"/>
      <c r="D2" s="1260"/>
      <c r="E2" s="1260"/>
      <c r="F2" s="1260"/>
      <c r="G2" s="1260"/>
      <c r="H2" s="1263" t="str">
        <f>+IF(ISBLANK(表紙!E2),"未入力",表紙!E2)</f>
        <v>医療法人徳洲会　松原徳洲会病院</v>
      </c>
      <c r="J2" s="295"/>
      <c r="K2" s="296" t="str">
        <f>+IF(SUM(Q2)&gt;0,"未入力があります。","")</f>
        <v/>
      </c>
      <c r="Q2" s="49">
        <f>+COUNTIF($M10:$M358,$Q$1)</f>
        <v>0</v>
      </c>
      <c r="R2" s="49">
        <f>+COUNTIF($M10:$M358,$R$1)</f>
        <v>146</v>
      </c>
      <c r="S2" s="49">
        <f>+COUNTIF($M10:$M358,$S$1)</f>
        <v>0</v>
      </c>
    </row>
    <row r="3" spans="1:19" ht="14.25" thickBot="1">
      <c r="A3" s="289">
        <v>3</v>
      </c>
      <c r="B3" s="1261"/>
      <c r="C3" s="1261"/>
      <c r="D3" s="1261"/>
      <c r="E3" s="1261"/>
      <c r="F3" s="1261"/>
      <c r="G3" s="1261"/>
      <c r="H3" s="1264"/>
      <c r="J3" s="290"/>
      <c r="K3" s="290"/>
    </row>
    <row r="4" spans="1:19" ht="14.25" thickBot="1">
      <c r="A4" s="289">
        <v>4</v>
      </c>
      <c r="B4" s="1262"/>
      <c r="C4" s="1262"/>
      <c r="D4" s="1262"/>
      <c r="E4" s="1262"/>
      <c r="F4" s="1262"/>
      <c r="G4" s="1262"/>
      <c r="H4" s="1265"/>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1777</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1777</v>
      </c>
      <c r="K14" s="311" t="s">
        <v>513</v>
      </c>
      <c r="M14" s="310" t="str">
        <f t="shared" si="0"/>
        <v>○</v>
      </c>
      <c r="O14" s="118"/>
    </row>
    <row r="15" spans="1:19" ht="14.25" thickBot="1">
      <c r="A15" s="289">
        <v>15</v>
      </c>
      <c r="C15" s="312"/>
      <c r="D15" s="312"/>
      <c r="E15" s="893"/>
      <c r="F15" s="894" t="s">
        <v>1236</v>
      </c>
      <c r="G15" s="895"/>
      <c r="H15" s="900" t="s">
        <v>514</v>
      </c>
      <c r="I15" s="327" t="s">
        <v>1226</v>
      </c>
      <c r="J15" s="66" t="s">
        <v>1777</v>
      </c>
      <c r="K15" s="973"/>
      <c r="M15" s="310" t="str">
        <f t="shared" si="0"/>
        <v>○</v>
      </c>
      <c r="O15" s="118"/>
    </row>
    <row r="16" spans="1:19" ht="14.25" thickBot="1">
      <c r="A16" s="289">
        <v>16</v>
      </c>
      <c r="C16" s="312"/>
      <c r="D16" s="312"/>
      <c r="E16" s="893"/>
      <c r="F16" s="893"/>
      <c r="G16" s="901" t="s">
        <v>515</v>
      </c>
      <c r="H16" s="902" t="s">
        <v>516</v>
      </c>
      <c r="I16" s="329" t="s">
        <v>1226</v>
      </c>
      <c r="J16" s="66" t="s">
        <v>1777</v>
      </c>
      <c r="K16" s="970"/>
      <c r="M16" s="310" t="str">
        <f t="shared" si="0"/>
        <v>○</v>
      </c>
      <c r="O16" s="118"/>
    </row>
    <row r="17" spans="1:21" ht="14.25" thickBot="1">
      <c r="A17" s="289">
        <v>17</v>
      </c>
      <c r="C17" s="312"/>
      <c r="D17" s="312"/>
      <c r="E17" s="893"/>
      <c r="F17" s="893"/>
      <c r="G17" s="901" t="s">
        <v>517</v>
      </c>
      <c r="H17" s="902" t="s">
        <v>518</v>
      </c>
      <c r="I17" s="949" t="s">
        <v>1226</v>
      </c>
      <c r="J17" s="66" t="s">
        <v>1777</v>
      </c>
      <c r="K17" s="970"/>
      <c r="M17" s="310" t="str">
        <f t="shared" si="0"/>
        <v>○</v>
      </c>
      <c r="O17" s="118"/>
    </row>
    <row r="18" spans="1:21" ht="14.25" thickBot="1">
      <c r="A18" s="289">
        <v>18</v>
      </c>
      <c r="C18" s="312"/>
      <c r="D18" s="312"/>
      <c r="E18" s="893"/>
      <c r="F18" s="897"/>
      <c r="G18" s="903" t="s">
        <v>519</v>
      </c>
      <c r="H18" s="904" t="s">
        <v>520</v>
      </c>
      <c r="I18" s="950" t="s">
        <v>1226</v>
      </c>
      <c r="J18" s="66" t="s">
        <v>1777</v>
      </c>
      <c r="K18" s="978"/>
      <c r="M18" s="310" t="str">
        <f t="shared" si="0"/>
        <v>○</v>
      </c>
      <c r="O18" s="118"/>
    </row>
    <row r="19" spans="1:21" ht="14.25" thickBot="1">
      <c r="A19" s="289">
        <v>19</v>
      </c>
      <c r="C19" s="312"/>
      <c r="D19" s="312"/>
      <c r="E19" s="893"/>
      <c r="F19" s="894" t="s">
        <v>1237</v>
      </c>
      <c r="G19" s="895"/>
      <c r="H19" s="900" t="s">
        <v>521</v>
      </c>
      <c r="I19" s="951" t="s">
        <v>1226</v>
      </c>
      <c r="J19" s="66" t="s">
        <v>1777</v>
      </c>
      <c r="K19" s="973"/>
      <c r="M19" s="310" t="str">
        <f t="shared" si="0"/>
        <v>○</v>
      </c>
      <c r="O19" s="118"/>
    </row>
    <row r="20" spans="1:21" ht="27.75" customHeight="1" thickBot="1">
      <c r="A20" s="289">
        <v>20</v>
      </c>
      <c r="C20" s="312"/>
      <c r="D20" s="312"/>
      <c r="E20" s="893"/>
      <c r="F20" s="893"/>
      <c r="G20" s="901" t="s">
        <v>515</v>
      </c>
      <c r="H20" s="902" t="s">
        <v>522</v>
      </c>
      <c r="I20" s="949" t="s">
        <v>1469</v>
      </c>
      <c r="J20" s="66" t="s">
        <v>1777</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1777</v>
      </c>
      <c r="K21" s="970" t="s">
        <v>523</v>
      </c>
      <c r="M21" s="310" t="str">
        <f t="shared" si="1"/>
        <v>〇</v>
      </c>
      <c r="O21" s="118"/>
    </row>
    <row r="22" spans="1:21" ht="41.25" thickBot="1">
      <c r="A22" s="289">
        <v>22</v>
      </c>
      <c r="C22" s="312"/>
      <c r="D22" s="312"/>
      <c r="E22" s="893"/>
      <c r="F22" s="893"/>
      <c r="G22" s="901" t="s">
        <v>519</v>
      </c>
      <c r="H22" s="902" t="s">
        <v>525</v>
      </c>
      <c r="I22" s="949" t="s">
        <v>1469</v>
      </c>
      <c r="J22" s="288">
        <v>8</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1</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1777</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1777</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1777</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1778</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1776</v>
      </c>
      <c r="K29" s="829"/>
      <c r="M29" s="833" t="str">
        <f>IF(ISBLANK(J29),"未入力あり","〇")</f>
        <v>〇</v>
      </c>
      <c r="O29" s="118"/>
    </row>
    <row r="30" spans="1:21" ht="31.5" customHeight="1" thickBot="1">
      <c r="A30" s="289">
        <v>30</v>
      </c>
      <c r="C30" s="312"/>
      <c r="D30" s="312"/>
      <c r="E30" s="914"/>
      <c r="F30" s="1257" t="s">
        <v>1231</v>
      </c>
      <c r="G30" s="1258"/>
      <c r="H30" s="1259"/>
      <c r="I30" s="957"/>
      <c r="J30" s="1109"/>
      <c r="K30" s="829"/>
      <c r="O30" s="118"/>
    </row>
    <row r="31" spans="1:21" ht="19.5" customHeight="1" thickBot="1">
      <c r="A31" s="289">
        <v>31</v>
      </c>
      <c r="C31" s="312"/>
      <c r="D31" s="312"/>
      <c r="E31" s="914"/>
      <c r="F31" s="894" t="s">
        <v>1235</v>
      </c>
      <c r="G31" s="915"/>
      <c r="H31" s="916" t="s">
        <v>1295</v>
      </c>
      <c r="I31" s="957" t="s">
        <v>1267</v>
      </c>
      <c r="J31" s="66" t="s">
        <v>1776</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1777</v>
      </c>
      <c r="K32" s="309"/>
      <c r="M32" s="833" t="str">
        <f t="shared" si="2"/>
        <v>〇</v>
      </c>
      <c r="O32" s="118"/>
    </row>
    <row r="33" spans="1:21" ht="14.25" thickBot="1">
      <c r="A33" s="289">
        <v>33</v>
      </c>
      <c r="C33" s="312"/>
      <c r="D33" s="312"/>
      <c r="E33" s="893"/>
      <c r="F33" s="897"/>
      <c r="G33" s="906"/>
      <c r="H33" s="918" t="s">
        <v>535</v>
      </c>
      <c r="I33" s="958" t="s">
        <v>536</v>
      </c>
      <c r="J33" s="66" t="s">
        <v>1776</v>
      </c>
      <c r="K33" s="338"/>
      <c r="M33" s="833" t="str">
        <f t="shared" si="2"/>
        <v>〇</v>
      </c>
      <c r="O33" s="118"/>
    </row>
    <row r="34" spans="1:21" ht="14.25" thickBot="1">
      <c r="A34" s="289">
        <v>34</v>
      </c>
      <c r="C34" s="312"/>
      <c r="D34" s="312"/>
      <c r="E34" s="893"/>
      <c r="F34" s="894" t="s">
        <v>1236</v>
      </c>
      <c r="G34" s="895"/>
      <c r="H34" s="896" t="s">
        <v>537</v>
      </c>
      <c r="I34" s="954" t="s">
        <v>1232</v>
      </c>
      <c r="J34" s="66" t="s">
        <v>1777</v>
      </c>
      <c r="K34" s="309"/>
      <c r="M34" s="833" t="str">
        <f t="shared" si="2"/>
        <v>〇</v>
      </c>
      <c r="O34" s="118"/>
    </row>
    <row r="35" spans="1:21" ht="14.25" thickBot="1">
      <c r="A35" s="289">
        <v>35</v>
      </c>
      <c r="C35" s="312"/>
      <c r="D35" s="312"/>
      <c r="E35" s="893"/>
      <c r="F35" s="897"/>
      <c r="G35" s="898"/>
      <c r="H35" s="899" t="s">
        <v>538</v>
      </c>
      <c r="I35" s="952" t="s">
        <v>1227</v>
      </c>
      <c r="J35" s="66" t="s">
        <v>1777</v>
      </c>
      <c r="K35" s="311"/>
      <c r="M35" s="833" t="str">
        <f t="shared" si="2"/>
        <v>〇</v>
      </c>
      <c r="O35" s="118"/>
    </row>
    <row r="36" spans="1:21" ht="14.25" thickBot="1">
      <c r="A36" s="289">
        <v>36</v>
      </c>
      <c r="C36" s="312"/>
      <c r="D36" s="312"/>
      <c r="E36" s="893"/>
      <c r="F36" s="894" t="s">
        <v>1237</v>
      </c>
      <c r="G36" s="895"/>
      <c r="H36" s="896" t="s">
        <v>539</v>
      </c>
      <c r="I36" s="959" t="str">
        <f>IF(J29="はい","C",IF(J29="いいえ","-","C／-"))</f>
        <v>-</v>
      </c>
      <c r="J36" s="66" t="s">
        <v>536</v>
      </c>
      <c r="K36" s="309"/>
      <c r="M36" s="833" t="str">
        <f t="shared" si="2"/>
        <v>〇</v>
      </c>
      <c r="O36" s="118"/>
    </row>
    <row r="37" spans="1:21" ht="14.25" thickBot="1">
      <c r="A37" s="289">
        <v>37</v>
      </c>
      <c r="C37" s="312"/>
      <c r="D37" s="312"/>
      <c r="E37" s="893"/>
      <c r="F37" s="897"/>
      <c r="G37" s="898"/>
      <c r="H37" s="899" t="s">
        <v>540</v>
      </c>
      <c r="I37" s="959" t="str">
        <f>IF(J29="はい","C",IF(J29="いいえ","-","C／-"))</f>
        <v>-</v>
      </c>
      <c r="J37" s="66" t="s">
        <v>536</v>
      </c>
      <c r="K37" s="311"/>
      <c r="M37" s="833" t="str">
        <f t="shared" si="2"/>
        <v>〇</v>
      </c>
      <c r="O37" s="118"/>
    </row>
    <row r="38" spans="1:21" ht="14.25" thickBot="1">
      <c r="A38" s="289">
        <v>38</v>
      </c>
      <c r="C38" s="312"/>
      <c r="D38" s="312"/>
      <c r="E38" s="893"/>
      <c r="F38" s="894" t="s">
        <v>1238</v>
      </c>
      <c r="G38" s="919"/>
      <c r="H38" s="920" t="s">
        <v>541</v>
      </c>
      <c r="I38" s="959" t="str">
        <f>IF(J29="はい","A",IF(J29="いいえ","-","A／-"))</f>
        <v>-</v>
      </c>
      <c r="J38" s="66" t="s">
        <v>536</v>
      </c>
      <c r="K38" s="339"/>
      <c r="M38" s="832" t="str">
        <f>+IF(I38="A",IF(ISBLANK(J38),"未入力あり",IF(J38="はい","○","×")),"")</f>
        <v/>
      </c>
      <c r="O38" s="118"/>
    </row>
    <row r="39" spans="1:21" ht="36" customHeight="1" thickBot="1">
      <c r="A39" s="289">
        <v>39</v>
      </c>
      <c r="C39" s="312"/>
      <c r="D39" s="312"/>
      <c r="E39" s="893"/>
      <c r="F39" s="897"/>
      <c r="G39" s="906"/>
      <c r="H39" s="921" t="s">
        <v>1537</v>
      </c>
      <c r="I39" s="960" t="s">
        <v>533</v>
      </c>
      <c r="J39" s="66" t="s">
        <v>536</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v>
      </c>
      <c r="J40" s="66" t="s">
        <v>536</v>
      </c>
      <c r="K40" s="309"/>
      <c r="M40" s="832" t="str">
        <f>+IF(I40="A",IF(ISBLANK(J40),"未入力あり",IF(J40="はい","○","×")),"")</f>
        <v/>
      </c>
      <c r="O40" s="118"/>
    </row>
    <row r="41" spans="1:21" ht="36" customHeight="1" thickBot="1">
      <c r="A41" s="289">
        <v>41</v>
      </c>
      <c r="C41" s="312"/>
      <c r="D41" s="312"/>
      <c r="E41" s="893"/>
      <c r="F41" s="893"/>
      <c r="G41" s="915"/>
      <c r="H41" s="922" t="s">
        <v>1539</v>
      </c>
      <c r="I41" s="961" t="s">
        <v>536</v>
      </c>
      <c r="J41" s="66" t="s">
        <v>536</v>
      </c>
      <c r="K41" s="341"/>
      <c r="M41" s="310" t="str">
        <f>IF(ISBLANK(J41),"未入力あり","〇")</f>
        <v>〇</v>
      </c>
      <c r="O41" s="118"/>
    </row>
    <row r="42" spans="1:21" ht="34.5" customHeight="1" thickBot="1">
      <c r="A42" s="289">
        <v>42</v>
      </c>
      <c r="C42" s="312"/>
      <c r="D42" s="312"/>
      <c r="E42" s="893"/>
      <c r="F42" s="897"/>
      <c r="G42" s="906"/>
      <c r="H42" s="923" t="s">
        <v>1540</v>
      </c>
      <c r="I42" s="960" t="s">
        <v>533</v>
      </c>
      <c r="J42" s="66" t="s">
        <v>536</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v>
      </c>
      <c r="J43" s="66" t="s">
        <v>536</v>
      </c>
      <c r="K43" s="342"/>
      <c r="M43" s="832" t="str">
        <f>+IF(I43="A",IF(ISBLANK(J43),"未入力あり",IF(J43="はい","○","×")),"")</f>
        <v/>
      </c>
      <c r="O43" s="118"/>
    </row>
    <row r="44" spans="1:21" ht="33.75" customHeight="1" thickBot="1">
      <c r="A44" s="289">
        <v>44</v>
      </c>
      <c r="C44" s="312"/>
      <c r="D44" s="312"/>
      <c r="E44" s="893"/>
      <c r="F44" s="893"/>
      <c r="G44" s="915"/>
      <c r="H44" s="924" t="s">
        <v>1542</v>
      </c>
      <c r="I44" s="954" t="s">
        <v>536</v>
      </c>
      <c r="J44" s="288">
        <v>0</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v>0</v>
      </c>
      <c r="K45" s="341"/>
      <c r="M45" s="310" t="str">
        <f t="shared" si="3"/>
        <v>〇</v>
      </c>
      <c r="O45" s="118"/>
    </row>
    <row r="46" spans="1:21" ht="35.25" customHeight="1" thickBot="1">
      <c r="A46" s="289">
        <v>46</v>
      </c>
      <c r="C46" s="312"/>
      <c r="D46" s="312"/>
      <c r="E46" s="893"/>
      <c r="F46" s="893"/>
      <c r="G46" s="915"/>
      <c r="H46" s="926" t="s">
        <v>1544</v>
      </c>
      <c r="I46" s="963" t="s">
        <v>536</v>
      </c>
      <c r="J46" s="66" t="s">
        <v>536</v>
      </c>
      <c r="K46" s="344"/>
      <c r="M46" s="310" t="str">
        <f t="shared" si="3"/>
        <v>〇</v>
      </c>
      <c r="O46" s="118"/>
    </row>
    <row r="47" spans="1:21" ht="27.75" thickBot="1">
      <c r="A47" s="289">
        <v>47</v>
      </c>
      <c r="C47" s="312"/>
      <c r="D47" s="312"/>
      <c r="E47" s="893"/>
      <c r="F47" s="927" t="s">
        <v>1241</v>
      </c>
      <c r="G47" s="908"/>
      <c r="H47" s="909" t="s">
        <v>1545</v>
      </c>
      <c r="I47" s="959" t="str">
        <f>IF(J29="はい","C",IF(J29="いいえ","-","C／-"))</f>
        <v>-</v>
      </c>
      <c r="J47" s="66" t="s">
        <v>1777</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1777</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1777</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1777</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1777</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1777</v>
      </c>
      <c r="K53" s="311"/>
      <c r="M53" s="310" t="str">
        <f t="shared" si="4"/>
        <v>○</v>
      </c>
      <c r="O53" s="118"/>
    </row>
    <row r="54" spans="1:15" ht="27.75" thickBot="1">
      <c r="A54" s="289">
        <v>54</v>
      </c>
      <c r="C54" s="312"/>
      <c r="D54" s="312"/>
      <c r="E54" s="893"/>
      <c r="F54" s="893" t="s">
        <v>1237</v>
      </c>
      <c r="G54" s="915"/>
      <c r="H54" s="900" t="s">
        <v>1546</v>
      </c>
      <c r="I54" s="951" t="s">
        <v>1226</v>
      </c>
      <c r="J54" s="66" t="s">
        <v>1777</v>
      </c>
      <c r="K54" s="328" t="s">
        <v>548</v>
      </c>
      <c r="M54" s="310" t="str">
        <f t="shared" si="4"/>
        <v>○</v>
      </c>
      <c r="O54" s="118"/>
    </row>
    <row r="55" spans="1:15" ht="27.75" thickBot="1">
      <c r="A55" s="289">
        <v>55</v>
      </c>
      <c r="C55" s="312"/>
      <c r="D55" s="312"/>
      <c r="E55" s="893"/>
      <c r="F55" s="893"/>
      <c r="G55" s="901" t="s">
        <v>515</v>
      </c>
      <c r="H55" s="902" t="s">
        <v>549</v>
      </c>
      <c r="I55" s="949" t="s">
        <v>1226</v>
      </c>
      <c r="J55" s="66" t="s">
        <v>1777</v>
      </c>
      <c r="K55" s="330"/>
      <c r="M55" s="310" t="str">
        <f t="shared" si="4"/>
        <v>○</v>
      </c>
      <c r="O55" s="118"/>
    </row>
    <row r="56" spans="1:15" ht="27.75" thickBot="1">
      <c r="A56" s="289">
        <v>56</v>
      </c>
      <c r="C56" s="312"/>
      <c r="D56" s="312"/>
      <c r="E56" s="893"/>
      <c r="F56" s="893"/>
      <c r="G56" s="929" t="s">
        <v>517</v>
      </c>
      <c r="H56" s="902" t="s">
        <v>1547</v>
      </c>
      <c r="I56" s="949" t="s">
        <v>1226</v>
      </c>
      <c r="J56" s="66" t="s">
        <v>1777</v>
      </c>
      <c r="K56" s="970" t="s">
        <v>1557</v>
      </c>
      <c r="M56" s="310" t="str">
        <f t="shared" si="4"/>
        <v>○</v>
      </c>
      <c r="O56" s="118"/>
    </row>
    <row r="57" spans="1:15" ht="14.25" thickBot="1">
      <c r="A57" s="289">
        <v>57</v>
      </c>
      <c r="C57" s="312"/>
      <c r="D57" s="312"/>
      <c r="E57" s="893"/>
      <c r="F57" s="893"/>
      <c r="G57" s="930"/>
      <c r="H57" s="931" t="s">
        <v>550</v>
      </c>
      <c r="I57" s="967" t="s">
        <v>1226</v>
      </c>
      <c r="J57" s="66" t="s">
        <v>1777</v>
      </c>
      <c r="K57" s="346"/>
      <c r="M57" s="310" t="str">
        <f t="shared" si="4"/>
        <v>○</v>
      </c>
      <c r="O57" s="118"/>
    </row>
    <row r="58" spans="1:15" ht="14.25" thickBot="1">
      <c r="A58" s="289">
        <v>58</v>
      </c>
      <c r="C58" s="312"/>
      <c r="D58" s="312"/>
      <c r="E58" s="893"/>
      <c r="F58" s="894" t="s">
        <v>1238</v>
      </c>
      <c r="G58" s="895"/>
      <c r="H58" s="896" t="s">
        <v>551</v>
      </c>
      <c r="I58" s="954" t="s">
        <v>1226</v>
      </c>
      <c r="J58" s="66" t="s">
        <v>1777</v>
      </c>
      <c r="K58" s="309" t="s">
        <v>552</v>
      </c>
      <c r="M58" s="310" t="str">
        <f t="shared" si="4"/>
        <v>○</v>
      </c>
      <c r="O58" s="118"/>
    </row>
    <row r="59" spans="1:15" ht="14.25" thickBot="1">
      <c r="A59" s="289">
        <v>59</v>
      </c>
      <c r="C59" s="312"/>
      <c r="D59" s="312"/>
      <c r="E59" s="893"/>
      <c r="F59" s="893"/>
      <c r="G59" s="915"/>
      <c r="H59" s="932" t="s">
        <v>553</v>
      </c>
      <c r="I59" s="968" t="s">
        <v>1226</v>
      </c>
      <c r="J59" s="66" t="s">
        <v>1777</v>
      </c>
      <c r="K59" s="347"/>
      <c r="M59" s="310" t="str">
        <f t="shared" si="4"/>
        <v>○</v>
      </c>
      <c r="O59" s="118"/>
    </row>
    <row r="60" spans="1:15" ht="14.25" thickBot="1">
      <c r="A60" s="289">
        <v>60</v>
      </c>
      <c r="C60" s="312"/>
      <c r="D60" s="312"/>
      <c r="E60" s="893"/>
      <c r="F60" s="897"/>
      <c r="G60" s="898"/>
      <c r="H60" s="928" t="s">
        <v>554</v>
      </c>
      <c r="I60" s="964" t="s">
        <v>1226</v>
      </c>
      <c r="J60" s="66" t="s">
        <v>1777</v>
      </c>
      <c r="K60" s="340"/>
      <c r="M60" s="310" t="str">
        <f t="shared" si="4"/>
        <v>○</v>
      </c>
      <c r="O60" s="118"/>
    </row>
    <row r="61" spans="1:15" ht="27.75" thickBot="1">
      <c r="A61" s="289">
        <v>61</v>
      </c>
      <c r="C61" s="312"/>
      <c r="D61" s="312"/>
      <c r="E61" s="893"/>
      <c r="F61" s="893" t="s">
        <v>1239</v>
      </c>
      <c r="G61" s="915"/>
      <c r="H61" s="896" t="s">
        <v>555</v>
      </c>
      <c r="I61" s="954" t="s">
        <v>1226</v>
      </c>
      <c r="J61" s="66" t="s">
        <v>1777</v>
      </c>
      <c r="K61" s="309"/>
      <c r="M61" s="310" t="str">
        <f t="shared" si="4"/>
        <v>○</v>
      </c>
      <c r="O61" s="118"/>
    </row>
    <row r="62" spans="1:15" ht="14.25" thickBot="1">
      <c r="A62" s="289">
        <v>62</v>
      </c>
      <c r="C62" s="312"/>
      <c r="D62" s="312"/>
      <c r="E62" s="893"/>
      <c r="F62" s="893"/>
      <c r="G62" s="915"/>
      <c r="H62" s="899" t="s">
        <v>556</v>
      </c>
      <c r="I62" s="966" t="s">
        <v>1226</v>
      </c>
      <c r="J62" s="66" t="s">
        <v>1777</v>
      </c>
      <c r="K62" s="311"/>
      <c r="M62" s="310" t="str">
        <f t="shared" si="4"/>
        <v>○</v>
      </c>
      <c r="O62" s="118"/>
    </row>
    <row r="63" spans="1:15" ht="14.25" thickBot="1">
      <c r="A63" s="289">
        <v>63</v>
      </c>
      <c r="C63" s="312"/>
      <c r="D63" s="312"/>
      <c r="E63" s="893"/>
      <c r="F63" s="894" t="s">
        <v>1240</v>
      </c>
      <c r="G63" s="895"/>
      <c r="H63" s="900" t="s">
        <v>557</v>
      </c>
      <c r="I63" s="327" t="s">
        <v>1226</v>
      </c>
      <c r="J63" s="66" t="s">
        <v>1777</v>
      </c>
      <c r="K63" s="328"/>
      <c r="M63" s="310" t="str">
        <f t="shared" si="4"/>
        <v>○</v>
      </c>
      <c r="O63" s="118"/>
    </row>
    <row r="64" spans="1:15" ht="27.75" thickBot="1">
      <c r="A64" s="289">
        <v>64</v>
      </c>
      <c r="C64" s="312"/>
      <c r="D64" s="312"/>
      <c r="E64" s="893"/>
      <c r="F64" s="893"/>
      <c r="G64" s="901" t="s">
        <v>515</v>
      </c>
      <c r="H64" s="902" t="s">
        <v>558</v>
      </c>
      <c r="I64" s="329" t="s">
        <v>1226</v>
      </c>
      <c r="J64" s="66" t="s">
        <v>1777</v>
      </c>
      <c r="K64" s="330"/>
      <c r="M64" s="310" t="str">
        <f t="shared" si="4"/>
        <v>○</v>
      </c>
      <c r="O64" s="118"/>
    </row>
    <row r="65" spans="1:15" ht="27.75" thickBot="1">
      <c r="A65" s="289">
        <v>65</v>
      </c>
      <c r="C65" s="312"/>
      <c r="D65" s="312"/>
      <c r="E65" s="893"/>
      <c r="F65" s="897"/>
      <c r="G65" s="903" t="s">
        <v>517</v>
      </c>
      <c r="H65" s="904" t="s">
        <v>559</v>
      </c>
      <c r="I65" s="331" t="s">
        <v>1227</v>
      </c>
      <c r="J65" s="66" t="s">
        <v>1777</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1777</v>
      </c>
      <c r="K66" s="336" t="s">
        <v>562</v>
      </c>
      <c r="M66" s="310" t="str">
        <f t="shared" si="4"/>
        <v>○</v>
      </c>
      <c r="O66" s="118"/>
    </row>
    <row r="67" spans="1:15" ht="14.25" thickBot="1">
      <c r="A67" s="289">
        <v>67</v>
      </c>
      <c r="C67" s="312"/>
      <c r="D67" s="312"/>
      <c r="E67" s="893"/>
      <c r="F67" s="893"/>
      <c r="G67" s="915"/>
      <c r="H67" s="899" t="s">
        <v>1246</v>
      </c>
      <c r="I67" s="953" t="s">
        <v>1232</v>
      </c>
      <c r="J67" s="971" t="s">
        <v>1777</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1777</v>
      </c>
      <c r="K68" s="972"/>
      <c r="M68" s="310" t="str">
        <f t="shared" si="4"/>
        <v>○</v>
      </c>
      <c r="O68" s="118"/>
    </row>
    <row r="69" spans="1:15" ht="27.75" thickBot="1">
      <c r="A69" s="289">
        <v>69</v>
      </c>
      <c r="C69" s="312"/>
      <c r="D69" s="312"/>
      <c r="E69" s="893"/>
      <c r="F69" s="893" t="s">
        <v>1243</v>
      </c>
      <c r="G69" s="915"/>
      <c r="H69" s="909" t="s">
        <v>563</v>
      </c>
      <c r="I69" s="953" t="s">
        <v>1226</v>
      </c>
      <c r="J69" s="971" t="s">
        <v>1777</v>
      </c>
      <c r="K69" s="972"/>
      <c r="M69" s="310" t="str">
        <f t="shared" si="4"/>
        <v>○</v>
      </c>
      <c r="O69" s="118"/>
    </row>
    <row r="70" spans="1:15" ht="14.25" thickBot="1">
      <c r="A70" s="289">
        <v>70</v>
      </c>
      <c r="C70" s="312"/>
      <c r="D70" s="312"/>
      <c r="E70" s="893"/>
      <c r="F70" s="894" t="s">
        <v>1244</v>
      </c>
      <c r="G70" s="895"/>
      <c r="H70" s="900" t="s">
        <v>564</v>
      </c>
      <c r="I70" s="951" t="s">
        <v>1226</v>
      </c>
      <c r="J70" s="971" t="s">
        <v>1777</v>
      </c>
      <c r="K70" s="973" t="s">
        <v>565</v>
      </c>
      <c r="M70" s="310" t="str">
        <f t="shared" si="4"/>
        <v>○</v>
      </c>
      <c r="O70" s="118"/>
    </row>
    <row r="71" spans="1:15" ht="14.25" thickBot="1">
      <c r="A71" s="289">
        <v>71</v>
      </c>
      <c r="C71" s="312"/>
      <c r="D71" s="312"/>
      <c r="E71" s="893"/>
      <c r="F71" s="893"/>
      <c r="G71" s="929" t="s">
        <v>515</v>
      </c>
      <c r="H71" s="933" t="s">
        <v>566</v>
      </c>
      <c r="I71" s="974" t="s">
        <v>1226</v>
      </c>
      <c r="J71" s="971" t="s">
        <v>1777</v>
      </c>
      <c r="K71" s="975"/>
      <c r="M71" s="310" t="str">
        <f>+IF(I71="A",IF(ISBLANK(J71),"未入力あり",IF(J71="はい","○","×")),"")</f>
        <v>○</v>
      </c>
      <c r="O71" s="118"/>
    </row>
    <row r="72" spans="1:15" ht="27.75" thickBot="1">
      <c r="A72" s="289">
        <v>72</v>
      </c>
      <c r="C72" s="312"/>
      <c r="D72" s="312"/>
      <c r="E72" s="893"/>
      <c r="F72" s="893"/>
      <c r="G72" s="934"/>
      <c r="H72" s="933" t="s">
        <v>567</v>
      </c>
      <c r="I72" s="976" t="s">
        <v>1226</v>
      </c>
      <c r="J72" s="977" t="str">
        <f>+IF(AND(ISBLANK(J73),ISBLANK(J74)),"",IF(OR(J73="はい",J74="はい"),"はい","いいえ "))</f>
        <v>はい</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1777</v>
      </c>
      <c r="K73" s="341"/>
      <c r="M73" s="310" t="str">
        <f>IF(ISBLANK(J73),"未入力あり","〇")</f>
        <v>〇</v>
      </c>
      <c r="O73" s="118"/>
    </row>
    <row r="74" spans="1:15" ht="14.25" thickBot="1">
      <c r="A74" s="289">
        <v>74</v>
      </c>
      <c r="C74" s="312"/>
      <c r="D74" s="312"/>
      <c r="E74" s="893"/>
      <c r="F74" s="893"/>
      <c r="G74" s="934"/>
      <c r="H74" s="936" t="s">
        <v>569</v>
      </c>
      <c r="I74" s="351" t="s">
        <v>533</v>
      </c>
      <c r="J74" s="66" t="s">
        <v>1776</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1777</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1776</v>
      </c>
      <c r="K76" s="349"/>
      <c r="M76" s="310" t="str">
        <f>IF(ISBLANK(J76),"未入力あり","〇")</f>
        <v>〇</v>
      </c>
      <c r="O76" s="118"/>
    </row>
    <row r="77" spans="1:15" ht="27.75" thickBot="1">
      <c r="A77" s="289">
        <v>77</v>
      </c>
      <c r="C77" s="312"/>
      <c r="D77" s="312"/>
      <c r="E77" s="893"/>
      <c r="F77" s="893"/>
      <c r="G77" s="934"/>
      <c r="H77" s="937" t="s">
        <v>572</v>
      </c>
      <c r="I77" s="355" t="s">
        <v>1226</v>
      </c>
      <c r="J77" s="66" t="s">
        <v>1777</v>
      </c>
      <c r="K77" s="356"/>
      <c r="M77" s="310" t="str">
        <f>+IF(I77="A",IF(ISBLANK(J77),"未入力あり",IF(J77="はい","○","×")),"")</f>
        <v>○</v>
      </c>
      <c r="O77" s="118"/>
    </row>
    <row r="78" spans="1:15" ht="14.25" thickBot="1">
      <c r="A78" s="289">
        <v>78</v>
      </c>
      <c r="C78" s="312"/>
      <c r="D78" s="312"/>
      <c r="E78" s="893"/>
      <c r="F78" s="897"/>
      <c r="G78" s="930"/>
      <c r="H78" s="938" t="s">
        <v>573</v>
      </c>
      <c r="I78" s="357" t="s">
        <v>1226</v>
      </c>
      <c r="J78" s="66" t="s">
        <v>1777</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1777</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1777</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1777</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1777</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1777</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1777</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1777</v>
      </c>
      <c r="K86" s="978"/>
      <c r="M86" s="310" t="str">
        <f t="shared" si="5"/>
        <v>〇</v>
      </c>
      <c r="O86" s="118"/>
    </row>
    <row r="87" spans="1:15" ht="14.25" thickBot="1">
      <c r="A87" s="289">
        <v>87</v>
      </c>
      <c r="C87" s="312"/>
      <c r="D87" s="312"/>
      <c r="E87" s="893"/>
      <c r="F87" s="927" t="s">
        <v>1236</v>
      </c>
      <c r="G87" s="908"/>
      <c r="H87" s="909" t="s">
        <v>583</v>
      </c>
      <c r="I87" s="953" t="s">
        <v>1226</v>
      </c>
      <c r="J87" s="971" t="s">
        <v>1777</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1777</v>
      </c>
      <c r="K88" s="980"/>
      <c r="M88" s="310" t="str">
        <f t="shared" si="4"/>
        <v>○</v>
      </c>
      <c r="O88" s="118"/>
    </row>
    <row r="89" spans="1:15" ht="41.25" customHeight="1" thickBot="1">
      <c r="A89" s="289">
        <v>89</v>
      </c>
      <c r="C89" s="312"/>
      <c r="D89" s="312"/>
      <c r="E89" s="893"/>
      <c r="F89" s="893"/>
      <c r="G89" s="915"/>
      <c r="H89" s="940" t="s">
        <v>1249</v>
      </c>
      <c r="I89" s="981" t="s">
        <v>1226</v>
      </c>
      <c r="J89" s="971" t="s">
        <v>1777</v>
      </c>
      <c r="K89" s="980"/>
      <c r="M89" s="310" t="str">
        <f t="shared" si="4"/>
        <v>○</v>
      </c>
      <c r="O89" s="118"/>
    </row>
    <row r="90" spans="1:15" ht="27" customHeight="1" thickBot="1">
      <c r="A90" s="289">
        <v>90</v>
      </c>
      <c r="C90" s="312"/>
      <c r="D90" s="312"/>
      <c r="E90" s="893"/>
      <c r="F90" s="893"/>
      <c r="G90" s="915"/>
      <c r="H90" s="939" t="s">
        <v>1250</v>
      </c>
      <c r="I90" s="979" t="s">
        <v>1251</v>
      </c>
      <c r="J90" s="100" t="s">
        <v>1779</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1777</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1777</v>
      </c>
      <c r="K92" s="980"/>
      <c r="M92" s="310" t="str">
        <f t="shared" si="4"/>
        <v>○</v>
      </c>
      <c r="O92" s="118"/>
    </row>
    <row r="93" spans="1:15" ht="27.75" thickBot="1">
      <c r="A93" s="289">
        <v>93</v>
      </c>
      <c r="C93" s="312"/>
      <c r="D93" s="312"/>
      <c r="E93" s="893"/>
      <c r="F93" s="927" t="s">
        <v>1240</v>
      </c>
      <c r="G93" s="908"/>
      <c r="H93" s="909" t="s">
        <v>586</v>
      </c>
      <c r="I93" s="953" t="s">
        <v>1226</v>
      </c>
      <c r="J93" s="971" t="s">
        <v>1777</v>
      </c>
      <c r="K93" s="972"/>
      <c r="M93" s="310" t="str">
        <f t="shared" si="4"/>
        <v>○</v>
      </c>
      <c r="O93" s="118"/>
    </row>
    <row r="94" spans="1:15" ht="27.75" thickBot="1">
      <c r="A94" s="289">
        <v>94</v>
      </c>
      <c r="C94" s="312"/>
      <c r="D94" s="312"/>
      <c r="E94" s="893"/>
      <c r="F94" s="893" t="s">
        <v>1241</v>
      </c>
      <c r="G94" s="915"/>
      <c r="H94" s="939" t="s">
        <v>1472</v>
      </c>
      <c r="I94" s="979" t="s">
        <v>1226</v>
      </c>
      <c r="J94" s="971" t="s">
        <v>1777</v>
      </c>
      <c r="K94" s="980"/>
      <c r="M94" s="310" t="str">
        <f t="shared" si="4"/>
        <v>○</v>
      </c>
      <c r="O94" s="118"/>
    </row>
    <row r="95" spans="1:15" ht="14.25" thickBot="1">
      <c r="A95" s="289">
        <v>95</v>
      </c>
      <c r="C95" s="312"/>
      <c r="D95" s="312"/>
      <c r="E95" s="893"/>
      <c r="F95" s="893"/>
      <c r="G95" s="915"/>
      <c r="H95" s="941" t="s">
        <v>1428</v>
      </c>
      <c r="I95" s="981" t="s">
        <v>1429</v>
      </c>
      <c r="J95" s="971" t="s">
        <v>1777</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1777</v>
      </c>
      <c r="K96" s="983"/>
      <c r="M96" s="310" t="str">
        <f t="shared" si="4"/>
        <v>○</v>
      </c>
      <c r="O96" s="118"/>
    </row>
    <row r="97" spans="1:21" ht="38.25" customHeight="1" thickBot="1">
      <c r="A97" s="289">
        <v>97</v>
      </c>
      <c r="C97" s="312"/>
      <c r="D97" s="312"/>
      <c r="E97" s="897"/>
      <c r="F97" s="927" t="s">
        <v>1242</v>
      </c>
      <c r="G97" s="908"/>
      <c r="H97" s="909" t="s">
        <v>587</v>
      </c>
      <c r="I97" s="953" t="s">
        <v>1226</v>
      </c>
      <c r="J97" s="971" t="s">
        <v>1777</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1777</v>
      </c>
      <c r="K99" s="309"/>
      <c r="M99" s="310" t="str">
        <f t="shared" si="4"/>
        <v>○</v>
      </c>
      <c r="O99" s="118"/>
    </row>
    <row r="100" spans="1:21" ht="14.25" thickBot="1">
      <c r="A100" s="289">
        <v>100</v>
      </c>
      <c r="C100" s="312"/>
      <c r="D100" s="312"/>
      <c r="E100" s="893"/>
      <c r="F100" s="893"/>
      <c r="G100" s="915"/>
      <c r="H100" s="932" t="s">
        <v>591</v>
      </c>
      <c r="I100" s="360" t="s">
        <v>1226</v>
      </c>
      <c r="J100" s="66" t="s">
        <v>1777</v>
      </c>
      <c r="K100" s="347"/>
      <c r="M100" s="310" t="str">
        <f t="shared" si="4"/>
        <v>○</v>
      </c>
      <c r="O100" s="118"/>
    </row>
    <row r="101" spans="1:21" ht="27.75" thickBot="1">
      <c r="A101" s="289">
        <v>101</v>
      </c>
      <c r="C101" s="312"/>
      <c r="D101" s="312"/>
      <c r="E101" s="893"/>
      <c r="F101" s="897"/>
      <c r="G101" s="906"/>
      <c r="H101" s="1191" t="s">
        <v>1702</v>
      </c>
      <c r="I101" s="361" t="s">
        <v>533</v>
      </c>
      <c r="J101" s="288">
        <v>2</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1777</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1776</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1777</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1777</v>
      </c>
      <c r="K106" s="336"/>
      <c r="M106" s="310" t="str">
        <f t="shared" si="4"/>
        <v>○</v>
      </c>
      <c r="O106" s="118"/>
    </row>
    <row r="107" spans="1:21" ht="27.75" thickBot="1">
      <c r="A107" s="289">
        <v>107</v>
      </c>
      <c r="C107" s="312"/>
      <c r="D107" s="312"/>
      <c r="E107" s="893"/>
      <c r="F107" s="893" t="s">
        <v>1410</v>
      </c>
      <c r="G107" s="915"/>
      <c r="H107" s="939" t="s">
        <v>1551</v>
      </c>
      <c r="I107" s="979" t="s">
        <v>1226</v>
      </c>
      <c r="J107" s="971" t="s">
        <v>1777</v>
      </c>
      <c r="K107" s="980" t="s">
        <v>1532</v>
      </c>
      <c r="M107" s="310" t="str">
        <f t="shared" si="4"/>
        <v>○</v>
      </c>
      <c r="O107" s="118"/>
    </row>
    <row r="108" spans="1:21" ht="27.75" thickBot="1">
      <c r="A108" s="289">
        <v>108</v>
      </c>
      <c r="C108" s="312"/>
      <c r="D108" s="312"/>
      <c r="E108" s="893"/>
      <c r="F108" s="893"/>
      <c r="G108" s="915"/>
      <c r="H108" s="932" t="s">
        <v>1552</v>
      </c>
      <c r="I108" s="981" t="s">
        <v>1226</v>
      </c>
      <c r="J108" s="971" t="s">
        <v>1777</v>
      </c>
      <c r="K108" s="940"/>
      <c r="M108" s="310" t="str">
        <f t="shared" si="4"/>
        <v>○</v>
      </c>
      <c r="O108" s="118"/>
    </row>
    <row r="109" spans="1:21" ht="14.25" thickBot="1">
      <c r="A109" s="289">
        <v>109</v>
      </c>
      <c r="C109" s="312"/>
      <c r="D109" s="312"/>
      <c r="E109" s="893"/>
      <c r="F109" s="893"/>
      <c r="G109" s="915"/>
      <c r="H109" s="932" t="s">
        <v>1471</v>
      </c>
      <c r="I109" s="985" t="s">
        <v>1232</v>
      </c>
      <c r="J109" s="971" t="s">
        <v>1777</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1777</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1777</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1776</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1777</v>
      </c>
      <c r="K114" s="973"/>
      <c r="M114" s="310" t="str">
        <f t="shared" si="7"/>
        <v>〇</v>
      </c>
      <c r="O114" s="118"/>
    </row>
    <row r="115" spans="1:21" ht="14.25" thickBot="1">
      <c r="A115" s="289">
        <v>115</v>
      </c>
      <c r="C115" s="312"/>
      <c r="D115" s="312"/>
      <c r="E115" s="893"/>
      <c r="F115" s="893"/>
      <c r="G115" s="943"/>
      <c r="H115" s="899" t="s">
        <v>599</v>
      </c>
      <c r="I115" s="952" t="s">
        <v>1232</v>
      </c>
      <c r="J115" s="971" t="s">
        <v>1777</v>
      </c>
      <c r="K115" s="983"/>
      <c r="M115" s="310" t="str">
        <f t="shared" si="7"/>
        <v>〇</v>
      </c>
      <c r="O115" s="118"/>
    </row>
    <row r="116" spans="1:21" ht="14.25" thickBot="1">
      <c r="A116" s="289">
        <v>116</v>
      </c>
      <c r="C116" s="312"/>
      <c r="D116" s="312"/>
      <c r="E116" s="893"/>
      <c r="F116" s="893"/>
      <c r="G116" s="943"/>
      <c r="H116" s="944" t="s">
        <v>600</v>
      </c>
      <c r="I116" s="979" t="s">
        <v>533</v>
      </c>
      <c r="J116" s="971" t="s">
        <v>1776</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1777</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7" t="s">
        <v>1523</v>
      </c>
      <c r="F119" s="1258"/>
      <c r="G119" s="1258"/>
      <c r="H119" s="1259"/>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18</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1</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6</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3</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5</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2</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1777</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1777</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0</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0</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1</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2</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1</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1777</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1777</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1777</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v>
      </c>
      <c r="J139" s="991">
        <v>0</v>
      </c>
      <c r="K139" s="969" t="s">
        <v>1419</v>
      </c>
      <c r="M139" s="832" t="str">
        <f>+IF(I139="A",IF(ISBLANK(J139),"未入力あり",IF(J139&gt;=1,"○","×")),"")</f>
        <v/>
      </c>
      <c r="O139" s="118"/>
      <c r="T139" s="333"/>
      <c r="U139" s="333"/>
    </row>
    <row r="140" spans="1:21" ht="14.25" thickBot="1">
      <c r="A140" s="289">
        <v>140</v>
      </c>
      <c r="C140" s="312"/>
      <c r="D140" s="312"/>
      <c r="E140" s="893"/>
      <c r="F140" s="897" t="s">
        <v>1240</v>
      </c>
      <c r="G140" s="898"/>
      <c r="H140" s="928" t="s">
        <v>608</v>
      </c>
      <c r="I140" s="964" t="s">
        <v>1227</v>
      </c>
      <c r="J140" s="991">
        <v>1</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v>
      </c>
      <c r="J143" s="991">
        <v>0</v>
      </c>
      <c r="K143" s="973" t="s">
        <v>1422</v>
      </c>
      <c r="M143" s="832" t="str">
        <f>+IF(I143="A",IF(ISBLANK(J143),"未入力あり",IF(J143&gt;=1,"○","×")),"")</f>
        <v/>
      </c>
      <c r="O143" s="118"/>
      <c r="T143" s="333"/>
      <c r="U143" s="333"/>
    </row>
    <row r="144" spans="1:21" ht="14.25" thickBot="1">
      <c r="A144" s="289">
        <v>144</v>
      </c>
      <c r="C144" s="312"/>
      <c r="D144" s="312"/>
      <c r="E144" s="893"/>
      <c r="F144" s="893"/>
      <c r="G144" s="915"/>
      <c r="H144" s="940" t="s">
        <v>1264</v>
      </c>
      <c r="I144" s="1006" t="str">
        <f>IF(J29="はい","C",IF(J29="いいえ","-","C／-"))</f>
        <v>-</v>
      </c>
      <c r="J144" s="971" t="s">
        <v>536</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0</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1778</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v>
      </c>
      <c r="J147" s="991">
        <v>0</v>
      </c>
      <c r="K147" s="973" t="s">
        <v>1565</v>
      </c>
      <c r="M147" s="832" t="str">
        <f>+IF(I147="A",IF(ISBLANK(J147),"未入力あり",IF(J147&gt;=1,"○","×")),"")</f>
        <v/>
      </c>
      <c r="O147" s="118"/>
      <c r="T147" s="333"/>
      <c r="U147" s="333"/>
    </row>
    <row r="148" spans="1:21" ht="14.25" thickBot="1">
      <c r="A148" s="289">
        <v>148</v>
      </c>
      <c r="C148" s="312"/>
      <c r="D148" s="312"/>
      <c r="E148" s="893"/>
      <c r="F148" s="893"/>
      <c r="G148" s="915"/>
      <c r="H148" s="941" t="s">
        <v>1269</v>
      </c>
      <c r="I148" s="979" t="s">
        <v>1267</v>
      </c>
      <c r="J148" s="991">
        <v>0</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v>
      </c>
      <c r="J149" s="971" t="s">
        <v>536</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0</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1778</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v>
      </c>
      <c r="J152" s="991">
        <v>0</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0</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v>
      </c>
      <c r="J154" s="991">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1778</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1</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0</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1777</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1</v>
      </c>
      <c r="K161" s="982"/>
      <c r="M161" s="310" t="str">
        <f t="shared" si="15"/>
        <v>〇</v>
      </c>
      <c r="O161" s="118"/>
      <c r="T161" s="333"/>
      <c r="U161" s="333"/>
    </row>
    <row r="162" spans="1:21" ht="14.25" thickBot="1">
      <c r="A162" s="289">
        <v>162</v>
      </c>
      <c r="C162" s="312"/>
      <c r="D162" s="312"/>
      <c r="E162" s="893"/>
      <c r="F162" s="893"/>
      <c r="G162" s="915"/>
      <c r="H162" s="1011" t="s">
        <v>1427</v>
      </c>
      <c r="I162" s="979" t="s">
        <v>1267</v>
      </c>
      <c r="J162" s="100" t="s">
        <v>1778</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1</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1776</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0</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1778</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1</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1778</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2</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1776</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0</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2</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1777</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1777</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1</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1</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1777</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1</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1776</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0</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1778</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v>
      </c>
      <c r="J189" s="991">
        <v>0</v>
      </c>
      <c r="K189" s="980" t="s">
        <v>1567</v>
      </c>
      <c r="M189" s="832" t="str">
        <f>+IF(I189="A",IF(ISBLANK(J189),"未入力あり",IF(J189&gt;=1,"○","×")),"")</f>
        <v/>
      </c>
      <c r="O189" s="118"/>
      <c r="T189" s="333"/>
      <c r="U189" s="333"/>
    </row>
    <row r="190" spans="1:21" ht="14.25" thickBot="1">
      <c r="A190" s="289">
        <v>190</v>
      </c>
      <c r="C190" s="312"/>
      <c r="D190" s="312"/>
      <c r="E190" s="312"/>
      <c r="F190" s="893"/>
      <c r="G190" s="915"/>
      <c r="H190" s="941" t="s">
        <v>1297</v>
      </c>
      <c r="I190" s="981" t="s">
        <v>1267</v>
      </c>
      <c r="J190" s="991">
        <v>0</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0</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1776</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0</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1778</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2</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2</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0</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0</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1776</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1777</v>
      </c>
      <c r="K201" s="987"/>
      <c r="M201" s="310" t="str">
        <f t="shared" si="17"/>
        <v>〇</v>
      </c>
      <c r="O201" s="118"/>
    </row>
    <row r="202" spans="1:21" ht="14.25" thickBot="1">
      <c r="A202" s="289">
        <v>202</v>
      </c>
      <c r="C202" s="312"/>
      <c r="D202" s="893"/>
      <c r="E202" s="1046"/>
      <c r="F202" s="1016"/>
      <c r="G202" s="1016"/>
      <c r="H202" s="899" t="s">
        <v>625</v>
      </c>
      <c r="I202" s="966" t="s">
        <v>1227</v>
      </c>
      <c r="J202" s="971" t="s">
        <v>1776</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1777</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1777</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1777</v>
      </c>
      <c r="K205" s="940"/>
      <c r="M205" s="310" t="str">
        <f t="shared" si="17"/>
        <v>〇</v>
      </c>
      <c r="O205" s="118"/>
    </row>
    <row r="206" spans="1:21" ht="14.25" thickBot="1">
      <c r="A206" s="289">
        <v>206</v>
      </c>
      <c r="C206" s="312"/>
      <c r="D206" s="893"/>
      <c r="E206" s="1046"/>
      <c r="F206" s="1016"/>
      <c r="G206" s="1016"/>
      <c r="H206" s="941" t="s">
        <v>629</v>
      </c>
      <c r="I206" s="968" t="s">
        <v>533</v>
      </c>
      <c r="J206" s="971" t="s">
        <v>1777</v>
      </c>
      <c r="K206" s="940"/>
      <c r="M206" s="310" t="str">
        <f t="shared" si="17"/>
        <v>〇</v>
      </c>
      <c r="O206" s="118"/>
    </row>
    <row r="207" spans="1:21" ht="14.25" thickBot="1">
      <c r="A207" s="289">
        <v>207</v>
      </c>
      <c r="C207" s="312"/>
      <c r="D207" s="312"/>
      <c r="E207" s="367"/>
      <c r="F207" s="1016"/>
      <c r="G207" s="1016"/>
      <c r="H207" s="941" t="s">
        <v>630</v>
      </c>
      <c r="I207" s="968" t="s">
        <v>533</v>
      </c>
      <c r="J207" s="971" t="s">
        <v>1777</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1777</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1777</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282</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375</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453</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412</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106</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3</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1777</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1777</v>
      </c>
      <c r="K220" s="347"/>
      <c r="M220" s="310" t="str">
        <f t="shared" si="22"/>
        <v>○</v>
      </c>
      <c r="O220" s="118"/>
    </row>
    <row r="221" spans="1:21" ht="14.25" thickBot="1">
      <c r="A221" s="289">
        <v>221</v>
      </c>
      <c r="C221" s="893"/>
      <c r="D221" s="1030"/>
      <c r="E221" s="1031"/>
      <c r="F221" s="1031"/>
      <c r="G221" s="1031"/>
      <c r="H221" s="899" t="s">
        <v>641</v>
      </c>
      <c r="I221" s="966" t="s">
        <v>1226</v>
      </c>
      <c r="J221" s="66" t="s">
        <v>1777</v>
      </c>
      <c r="K221" s="311"/>
      <c r="M221" s="310" t="str">
        <f t="shared" si="22"/>
        <v>○</v>
      </c>
      <c r="O221" s="118"/>
    </row>
    <row r="222" spans="1:21" ht="27.75" thickBot="1">
      <c r="A222" s="289">
        <v>222</v>
      </c>
      <c r="C222" s="893"/>
      <c r="D222" s="1029" t="s">
        <v>642</v>
      </c>
      <c r="E222" s="946"/>
      <c r="F222" s="946"/>
      <c r="G222" s="946"/>
      <c r="H222" s="896" t="s">
        <v>643</v>
      </c>
      <c r="I222" s="954" t="s">
        <v>1226</v>
      </c>
      <c r="J222" s="66" t="s">
        <v>1777</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1777</v>
      </c>
      <c r="K223" s="831"/>
      <c r="M223" s="310" t="str">
        <f t="shared" si="22"/>
        <v>○</v>
      </c>
      <c r="O223" s="118"/>
    </row>
    <row r="224" spans="1:21" ht="22.5" customHeight="1" thickBot="1">
      <c r="A224" s="289">
        <v>224</v>
      </c>
      <c r="C224" s="893"/>
      <c r="D224" s="1030"/>
      <c r="E224" s="1031"/>
      <c r="F224" s="1031"/>
      <c r="G224" s="1031"/>
      <c r="H224" s="932" t="s">
        <v>1312</v>
      </c>
      <c r="I224" s="981" t="s">
        <v>1267</v>
      </c>
      <c r="J224" s="66" t="s">
        <v>1777</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1777</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6</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3</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0.5</v>
      </c>
      <c r="K228" s="352"/>
      <c r="O228" s="118"/>
      <c r="T228" s="333"/>
      <c r="U228" s="333"/>
    </row>
    <row r="229" spans="1:21" ht="14.25" thickBot="1">
      <c r="A229" s="289">
        <v>229</v>
      </c>
      <c r="C229" s="893"/>
      <c r="D229" s="1030"/>
      <c r="E229" s="1031"/>
      <c r="F229" s="1031"/>
      <c r="G229" s="1031"/>
      <c r="H229" s="1032" t="s">
        <v>648</v>
      </c>
      <c r="I229" s="1033" t="s">
        <v>533</v>
      </c>
      <c r="J229" s="288">
        <v>24</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23</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0.95833333333333337</v>
      </c>
      <c r="K231" s="352"/>
      <c r="O231" s="118"/>
      <c r="T231" s="333"/>
      <c r="U231" s="333"/>
    </row>
    <row r="232" spans="1:21" ht="14.25" thickBot="1">
      <c r="A232" s="289">
        <v>232</v>
      </c>
      <c r="C232" s="893"/>
      <c r="D232" s="1030"/>
      <c r="E232" s="1031"/>
      <c r="F232" s="1031"/>
      <c r="G232" s="1031"/>
      <c r="H232" s="932" t="s">
        <v>649</v>
      </c>
      <c r="I232" s="979" t="s">
        <v>1226</v>
      </c>
      <c r="J232" s="66" t="s">
        <v>1777</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1780</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1777</v>
      </c>
      <c r="K234" s="311"/>
      <c r="M234" s="310" t="str">
        <f t="shared" si="24"/>
        <v>○</v>
      </c>
      <c r="O234" s="118"/>
    </row>
    <row r="235" spans="1:21" ht="14.25" thickBot="1">
      <c r="A235" s="289">
        <v>235</v>
      </c>
      <c r="C235" s="893"/>
      <c r="D235" s="1029" t="s">
        <v>651</v>
      </c>
      <c r="E235" s="946"/>
      <c r="F235" s="946"/>
      <c r="G235" s="946"/>
      <c r="H235" s="896" t="s">
        <v>652</v>
      </c>
      <c r="I235" s="954" t="s">
        <v>1226</v>
      </c>
      <c r="J235" s="66" t="s">
        <v>1777</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1777</v>
      </c>
      <c r="K236" s="336"/>
      <c r="M236" s="310" t="str">
        <f t="shared" si="24"/>
        <v>○</v>
      </c>
      <c r="O236" s="118"/>
    </row>
    <row r="237" spans="1:21" ht="33" customHeight="1" thickBot="1">
      <c r="A237" s="289">
        <v>237</v>
      </c>
      <c r="C237" s="893"/>
      <c r="D237" s="1038"/>
      <c r="E237" s="1039"/>
      <c r="F237" s="1039"/>
      <c r="G237" s="1040"/>
      <c r="H237" s="1011" t="s">
        <v>1324</v>
      </c>
      <c r="I237" s="952" t="s">
        <v>1267</v>
      </c>
      <c r="J237" s="100" t="s">
        <v>1781</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1777</v>
      </c>
      <c r="K238" s="831"/>
      <c r="M238" s="310" t="str">
        <f t="shared" si="24"/>
        <v>○</v>
      </c>
      <c r="O238" s="118"/>
    </row>
    <row r="239" spans="1:21" ht="14.25" thickBot="1">
      <c r="A239" s="289">
        <v>239</v>
      </c>
      <c r="C239" s="893"/>
      <c r="D239" s="1030"/>
      <c r="E239" s="1031"/>
      <c r="F239" s="1031"/>
      <c r="G239" s="1031"/>
      <c r="H239" s="942" t="s">
        <v>656</v>
      </c>
      <c r="I239" s="1008" t="s">
        <v>1227</v>
      </c>
      <c r="J239" s="66" t="s">
        <v>1776</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1782</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1777</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11</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1783</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1777</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1776</v>
      </c>
      <c r="K246" s="340"/>
      <c r="M246" s="310" t="str">
        <f t="shared" si="29"/>
        <v>〇</v>
      </c>
      <c r="O246" s="118"/>
    </row>
    <row r="247" spans="1:21" ht="14.25" thickBot="1">
      <c r="A247" s="289">
        <v>247</v>
      </c>
      <c r="C247" s="893"/>
      <c r="D247" s="1030"/>
      <c r="E247" s="1031"/>
      <c r="F247" s="1031"/>
      <c r="G247" s="1041"/>
      <c r="H247" s="941" t="s">
        <v>1313</v>
      </c>
      <c r="I247" s="1044" t="s">
        <v>1267</v>
      </c>
      <c r="J247" s="66" t="s">
        <v>1776</v>
      </c>
      <c r="K247" s="831"/>
      <c r="M247" s="310" t="str">
        <f t="shared" si="29"/>
        <v>〇</v>
      </c>
      <c r="O247" s="118"/>
    </row>
    <row r="248" spans="1:21" ht="14.25" thickBot="1">
      <c r="A248" s="289">
        <v>248</v>
      </c>
      <c r="C248" s="897"/>
      <c r="D248" s="1038"/>
      <c r="E248" s="1039"/>
      <c r="F248" s="1039"/>
      <c r="G248" s="1040"/>
      <c r="H248" s="998" t="s">
        <v>1314</v>
      </c>
      <c r="I248" s="1045" t="s">
        <v>1267</v>
      </c>
      <c r="J248" s="66" t="s">
        <v>1776</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1777</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1777</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1777</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1784</v>
      </c>
      <c r="K254" s="345"/>
      <c r="M254" s="310" t="str">
        <f t="shared" si="32"/>
        <v>〇</v>
      </c>
      <c r="O254" s="118"/>
    </row>
    <row r="255" spans="1:21" ht="14.25" thickBot="1">
      <c r="A255" s="289">
        <v>255</v>
      </c>
      <c r="C255" s="893"/>
      <c r="D255" s="893"/>
      <c r="E255" s="898"/>
      <c r="F255" s="915"/>
      <c r="G255" s="915"/>
      <c r="H255" s="923" t="s">
        <v>667</v>
      </c>
      <c r="I255" s="962" t="s">
        <v>533</v>
      </c>
      <c r="J255" s="66" t="s">
        <v>1777</v>
      </c>
      <c r="K255" s="341"/>
      <c r="M255" s="310" t="str">
        <f t="shared" si="32"/>
        <v>〇</v>
      </c>
      <c r="O255" s="118"/>
    </row>
    <row r="256" spans="1:21" ht="14.25" thickBot="1">
      <c r="A256" s="289">
        <v>256</v>
      </c>
      <c r="C256" s="893"/>
      <c r="D256" s="893"/>
      <c r="E256" s="889" t="s">
        <v>1315</v>
      </c>
      <c r="F256" s="891"/>
      <c r="G256" s="891"/>
      <c r="H256" s="896" t="s">
        <v>1477</v>
      </c>
      <c r="I256" s="954" t="s">
        <v>1226</v>
      </c>
      <c r="J256" s="66" t="s">
        <v>1777</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1777</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1777</v>
      </c>
      <c r="K258" s="341"/>
      <c r="M258" s="310" t="str">
        <f t="shared" si="32"/>
        <v>〇</v>
      </c>
      <c r="O258" s="118"/>
    </row>
    <row r="259" spans="1:21" ht="14.25" thickBot="1">
      <c r="A259" s="289">
        <v>259</v>
      </c>
      <c r="C259" s="893"/>
      <c r="D259" s="893"/>
      <c r="E259" s="1046"/>
      <c r="F259" s="1016"/>
      <c r="G259" s="1016"/>
      <c r="H259" s="1034" t="s">
        <v>1325</v>
      </c>
      <c r="I259" s="985" t="s">
        <v>1326</v>
      </c>
      <c r="J259" s="288">
        <v>2</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1777</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1777</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1777</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1777</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1777</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1777</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1777</v>
      </c>
      <c r="K266" s="309"/>
      <c r="M266" s="310" t="str">
        <f t="shared" si="33"/>
        <v>○</v>
      </c>
      <c r="O266" s="118"/>
    </row>
    <row r="267" spans="1:21" ht="14.25" thickBot="1">
      <c r="A267" s="289">
        <v>267</v>
      </c>
      <c r="C267" s="893"/>
      <c r="D267" s="893"/>
      <c r="E267" s="1046"/>
      <c r="F267" s="927" t="s">
        <v>1331</v>
      </c>
      <c r="G267" s="908"/>
      <c r="H267" s="909" t="s">
        <v>674</v>
      </c>
      <c r="I267" s="953" t="s">
        <v>1226</v>
      </c>
      <c r="J267" s="66" t="s">
        <v>1777</v>
      </c>
      <c r="K267" s="336"/>
      <c r="M267" s="310" t="str">
        <f t="shared" si="33"/>
        <v>○</v>
      </c>
      <c r="O267" s="118"/>
    </row>
    <row r="268" spans="1:21" ht="14.25" thickBot="1">
      <c r="A268" s="289">
        <v>268</v>
      </c>
      <c r="C268" s="893"/>
      <c r="D268" s="893"/>
      <c r="E268" s="1046"/>
      <c r="F268" s="894" t="s">
        <v>1332</v>
      </c>
      <c r="G268" s="919"/>
      <c r="H268" s="939" t="s">
        <v>675</v>
      </c>
      <c r="I268" s="979" t="s">
        <v>1226</v>
      </c>
      <c r="J268" s="66" t="s">
        <v>1777</v>
      </c>
      <c r="K268" s="831"/>
      <c r="M268" s="310" t="str">
        <f t="shared" si="33"/>
        <v>○</v>
      </c>
      <c r="O268" s="118"/>
    </row>
    <row r="269" spans="1:21" ht="24" customHeight="1" thickBot="1">
      <c r="A269" s="289">
        <v>269</v>
      </c>
      <c r="C269" s="893"/>
      <c r="D269" s="893"/>
      <c r="E269" s="1046"/>
      <c r="F269" s="893"/>
      <c r="G269" s="943"/>
      <c r="H269" s="941" t="s">
        <v>1425</v>
      </c>
      <c r="I269" s="981" t="s">
        <v>1323</v>
      </c>
      <c r="J269" s="100" t="s">
        <v>1787</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1777</v>
      </c>
      <c r="K270" s="311"/>
      <c r="M270" s="310" t="str">
        <f t="shared" si="33"/>
        <v>○</v>
      </c>
      <c r="O270" s="118"/>
    </row>
    <row r="271" spans="1:21" ht="14.25" thickBot="1">
      <c r="A271" s="289">
        <v>271</v>
      </c>
      <c r="C271" s="893"/>
      <c r="D271" s="893"/>
      <c r="E271" s="1046"/>
      <c r="F271" s="893" t="s">
        <v>1333</v>
      </c>
      <c r="G271" s="915"/>
      <c r="H271" s="939" t="s">
        <v>677</v>
      </c>
      <c r="I271" s="979" t="s">
        <v>1226</v>
      </c>
      <c r="J271" s="66" t="s">
        <v>1777</v>
      </c>
      <c r="K271" s="345"/>
      <c r="M271" s="310" t="str">
        <f t="shared" si="33"/>
        <v>○</v>
      </c>
      <c r="O271" s="118"/>
    </row>
    <row r="272" spans="1:21" ht="14.25" thickBot="1">
      <c r="A272" s="289">
        <v>272</v>
      </c>
      <c r="C272" s="893"/>
      <c r="D272" s="893"/>
      <c r="E272" s="889" t="s">
        <v>1319</v>
      </c>
      <c r="F272" s="891"/>
      <c r="G272" s="891"/>
      <c r="H272" s="896" t="s">
        <v>678</v>
      </c>
      <c r="I272" s="954" t="s">
        <v>1423</v>
      </c>
      <c r="J272" s="66" t="s">
        <v>1776</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1776</v>
      </c>
      <c r="K273" s="311"/>
      <c r="M273" s="310" t="str">
        <f t="shared" si="36"/>
        <v>〇</v>
      </c>
      <c r="O273" s="118"/>
    </row>
    <row r="274" spans="1:15" ht="27.75" thickBot="1">
      <c r="A274" s="289">
        <v>274</v>
      </c>
      <c r="C274" s="893"/>
      <c r="D274" s="893"/>
      <c r="E274" s="1025" t="s">
        <v>1320</v>
      </c>
      <c r="F274" s="1002"/>
      <c r="G274" s="1002"/>
      <c r="H274" s="928" t="s">
        <v>679</v>
      </c>
      <c r="I274" s="964" t="s">
        <v>1226</v>
      </c>
      <c r="J274" s="66" t="s">
        <v>1777</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1777</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1777</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1777</v>
      </c>
      <c r="K277" s="347"/>
      <c r="M277" s="310" t="str">
        <f t="shared" si="37"/>
        <v>○</v>
      </c>
      <c r="O277" s="118"/>
    </row>
    <row r="278" spans="1:15" ht="14.25" thickBot="1">
      <c r="A278" s="289">
        <v>278</v>
      </c>
      <c r="C278" s="893"/>
      <c r="D278" s="1049"/>
      <c r="E278" s="1025"/>
      <c r="F278" s="1016"/>
      <c r="G278" s="1016"/>
      <c r="H278" s="939" t="s">
        <v>681</v>
      </c>
      <c r="I278" s="979" t="s">
        <v>1524</v>
      </c>
      <c r="J278" s="1117" t="s">
        <v>1776</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1777</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1777</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1777</v>
      </c>
      <c r="K283" s="876"/>
      <c r="M283" s="310" t="str">
        <f t="shared" si="39"/>
        <v>○</v>
      </c>
      <c r="O283" s="118"/>
    </row>
    <row r="284" spans="1:15" ht="14.25" thickBot="1">
      <c r="A284" s="289">
        <v>284</v>
      </c>
      <c r="C284" s="874"/>
      <c r="D284" s="874"/>
      <c r="E284" s="1049"/>
      <c r="F284" s="1049"/>
      <c r="G284" s="1055" t="s">
        <v>1486</v>
      </c>
      <c r="H284" s="1056" t="s">
        <v>1487</v>
      </c>
      <c r="I284" s="964" t="s">
        <v>1226</v>
      </c>
      <c r="J284" s="66" t="s">
        <v>1777</v>
      </c>
      <c r="K284" s="876"/>
      <c r="M284" s="310" t="str">
        <f t="shared" si="39"/>
        <v>○</v>
      </c>
      <c r="O284" s="118"/>
    </row>
    <row r="285" spans="1:15" ht="14.25" thickBot="1">
      <c r="A285" s="289">
        <v>285</v>
      </c>
      <c r="C285" s="874"/>
      <c r="D285" s="874"/>
      <c r="E285" s="1049"/>
      <c r="F285" s="1049"/>
      <c r="G285" s="1055" t="s">
        <v>1488</v>
      </c>
      <c r="H285" s="1055" t="s">
        <v>1489</v>
      </c>
      <c r="I285" s="964" t="s">
        <v>1226</v>
      </c>
      <c r="J285" s="66" t="s">
        <v>1777</v>
      </c>
      <c r="K285" s="876"/>
      <c r="M285" s="310" t="str">
        <f t="shared" si="39"/>
        <v>○</v>
      </c>
      <c r="O285" s="118"/>
    </row>
    <row r="286" spans="1:15" ht="14.25" thickBot="1">
      <c r="A286" s="289">
        <v>286</v>
      </c>
      <c r="C286" s="874"/>
      <c r="D286" s="874"/>
      <c r="E286" s="1049"/>
      <c r="F286" s="1049"/>
      <c r="G286" s="1055" t="s">
        <v>1490</v>
      </c>
      <c r="H286" s="1057" t="s">
        <v>1491</v>
      </c>
      <c r="I286" s="964" t="s">
        <v>1226</v>
      </c>
      <c r="J286" s="66" t="s">
        <v>1777</v>
      </c>
      <c r="K286" s="876"/>
      <c r="M286" s="310" t="str">
        <f t="shared" si="39"/>
        <v>○</v>
      </c>
      <c r="O286" s="118"/>
    </row>
    <row r="287" spans="1:15" ht="14.25" thickBot="1">
      <c r="A287" s="289">
        <v>287</v>
      </c>
      <c r="C287" s="874"/>
      <c r="D287" s="874"/>
      <c r="E287" s="1049"/>
      <c r="F287" s="1049"/>
      <c r="G287" s="1055" t="s">
        <v>1492</v>
      </c>
      <c r="H287" s="1057" t="s">
        <v>1493</v>
      </c>
      <c r="I287" s="964" t="s">
        <v>1226</v>
      </c>
      <c r="J287" s="66" t="s">
        <v>1777</v>
      </c>
      <c r="K287" s="876"/>
      <c r="M287" s="310" t="str">
        <f t="shared" si="39"/>
        <v>○</v>
      </c>
      <c r="O287" s="118"/>
    </row>
    <row r="288" spans="1:15" ht="14.25" thickBot="1">
      <c r="A288" s="289">
        <v>288</v>
      </c>
      <c r="C288" s="874"/>
      <c r="D288" s="874"/>
      <c r="E288" s="1049"/>
      <c r="F288" s="1049"/>
      <c r="G288" s="1055" t="s">
        <v>1494</v>
      </c>
      <c r="H288" s="1057" t="s">
        <v>1495</v>
      </c>
      <c r="I288" s="964" t="s">
        <v>1226</v>
      </c>
      <c r="J288" s="66" t="s">
        <v>1777</v>
      </c>
      <c r="K288" s="876"/>
      <c r="M288" s="310" t="str">
        <f t="shared" si="39"/>
        <v>○</v>
      </c>
      <c r="O288" s="118"/>
    </row>
    <row r="289" spans="1:15" ht="14.25" thickBot="1">
      <c r="A289" s="289">
        <v>289</v>
      </c>
      <c r="C289" s="874"/>
      <c r="D289" s="874"/>
      <c r="E289" s="1049"/>
      <c r="F289" s="1049"/>
      <c r="G289" s="1058" t="s">
        <v>1496</v>
      </c>
      <c r="H289" s="1057" t="s">
        <v>1497</v>
      </c>
      <c r="I289" s="964" t="s">
        <v>1226</v>
      </c>
      <c r="J289" s="66" t="s">
        <v>1777</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1777</v>
      </c>
      <c r="K291" s="876"/>
      <c r="M291" s="310" t="str">
        <f t="shared" si="39"/>
        <v>○</v>
      </c>
      <c r="O291" s="118"/>
    </row>
    <row r="292" spans="1:15" ht="14.25" thickBot="1">
      <c r="A292" s="289">
        <v>292</v>
      </c>
      <c r="C292" s="874"/>
      <c r="D292" s="874"/>
      <c r="E292" s="1049"/>
      <c r="F292" s="1049"/>
      <c r="G292" s="1055" t="s">
        <v>1486</v>
      </c>
      <c r="H292" s="1057" t="s">
        <v>1500</v>
      </c>
      <c r="I292" s="964" t="s">
        <v>1226</v>
      </c>
      <c r="J292" s="66" t="s">
        <v>1777</v>
      </c>
      <c r="K292" s="876"/>
      <c r="M292" s="310" t="str">
        <f t="shared" si="39"/>
        <v>○</v>
      </c>
      <c r="O292" s="118"/>
    </row>
    <row r="293" spans="1:15" ht="14.25" thickBot="1">
      <c r="A293" s="289">
        <v>293</v>
      </c>
      <c r="C293" s="874"/>
      <c r="D293" s="874"/>
      <c r="E293" s="1049"/>
      <c r="F293" s="1049"/>
      <c r="G293" s="1055" t="s">
        <v>1488</v>
      </c>
      <c r="H293" s="1057" t="s">
        <v>1501</v>
      </c>
      <c r="I293" s="964" t="s">
        <v>1226</v>
      </c>
      <c r="J293" s="66" t="s">
        <v>1777</v>
      </c>
      <c r="K293" s="876"/>
      <c r="M293" s="310" t="str">
        <f t="shared" si="39"/>
        <v>○</v>
      </c>
      <c r="O293" s="118"/>
    </row>
    <row r="294" spans="1:15" ht="14.25" thickBot="1">
      <c r="A294" s="289">
        <v>294</v>
      </c>
      <c r="C294" s="874"/>
      <c r="D294" s="874"/>
      <c r="E294" s="1049"/>
      <c r="F294" s="1049"/>
      <c r="G294" s="1055" t="s">
        <v>1490</v>
      </c>
      <c r="H294" s="1057" t="s">
        <v>1502</v>
      </c>
      <c r="I294" s="964" t="s">
        <v>1226</v>
      </c>
      <c r="J294" s="66" t="s">
        <v>1777</v>
      </c>
      <c r="K294" s="876"/>
      <c r="M294" s="310" t="str">
        <f t="shared" si="39"/>
        <v>○</v>
      </c>
      <c r="O294" s="118"/>
    </row>
    <row r="295" spans="1:15" ht="14.25" thickBot="1">
      <c r="A295" s="289">
        <v>295</v>
      </c>
      <c r="C295" s="874"/>
      <c r="D295" s="874"/>
      <c r="E295" s="1049"/>
      <c r="F295" s="1049"/>
      <c r="G295" s="1055" t="s">
        <v>1492</v>
      </c>
      <c r="H295" s="1057" t="s">
        <v>1503</v>
      </c>
      <c r="I295" s="964" t="s">
        <v>1226</v>
      </c>
      <c r="J295" s="66" t="s">
        <v>1777</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1777</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1777</v>
      </c>
      <c r="K298" s="876"/>
      <c r="M298" s="310" t="str">
        <f t="shared" si="40"/>
        <v>○</v>
      </c>
      <c r="O298" s="118"/>
    </row>
    <row r="299" spans="1:15" ht="14.25" thickBot="1">
      <c r="A299" s="289">
        <v>299</v>
      </c>
      <c r="C299" s="874"/>
      <c r="D299" s="874"/>
      <c r="E299" s="1049"/>
      <c r="F299" s="1049"/>
      <c r="G299" s="1055" t="s">
        <v>1488</v>
      </c>
      <c r="H299" s="1055" t="s">
        <v>1508</v>
      </c>
      <c r="I299" s="964" t="s">
        <v>1226</v>
      </c>
      <c r="J299" s="66" t="s">
        <v>1777</v>
      </c>
      <c r="K299" s="876"/>
      <c r="M299" s="310" t="str">
        <f t="shared" si="40"/>
        <v>○</v>
      </c>
      <c r="O299" s="118"/>
    </row>
    <row r="300" spans="1:15" ht="14.25" thickBot="1">
      <c r="A300" s="289">
        <v>300</v>
      </c>
      <c r="C300" s="874"/>
      <c r="D300" s="874"/>
      <c r="E300" s="1049"/>
      <c r="F300" s="1049"/>
      <c r="G300" s="1058" t="s">
        <v>1490</v>
      </c>
      <c r="H300" s="1055" t="s">
        <v>1520</v>
      </c>
      <c r="I300" s="964" t="s">
        <v>1226</v>
      </c>
      <c r="J300" s="66" t="s">
        <v>1777</v>
      </c>
      <c r="K300" s="876"/>
      <c r="M300" s="310" t="str">
        <f t="shared" si="40"/>
        <v>○</v>
      </c>
      <c r="O300" s="118"/>
    </row>
    <row r="301" spans="1:15" ht="14.25" thickBot="1">
      <c r="A301" s="289">
        <v>301</v>
      </c>
      <c r="C301" s="874"/>
      <c r="D301" s="874"/>
      <c r="E301" s="1049"/>
      <c r="F301" s="894"/>
      <c r="G301" s="1055" t="s">
        <v>1483</v>
      </c>
      <c r="H301" s="1057" t="s">
        <v>1510</v>
      </c>
      <c r="I301" s="964" t="s">
        <v>1226</v>
      </c>
      <c r="J301" s="877" t="s">
        <v>1785</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1785</v>
      </c>
      <c r="K302" s="876"/>
      <c r="M302" s="310" t="str">
        <f t="shared" si="41"/>
        <v>○</v>
      </c>
      <c r="O302" s="118"/>
    </row>
    <row r="303" spans="1:15" ht="14.25" thickBot="1">
      <c r="A303" s="289">
        <v>303</v>
      </c>
      <c r="C303" s="874"/>
      <c r="D303" s="874"/>
      <c r="E303" s="1049"/>
      <c r="F303" s="1049"/>
      <c r="G303" s="1055" t="s">
        <v>1498</v>
      </c>
      <c r="H303" s="1057" t="s">
        <v>1513</v>
      </c>
      <c r="I303" s="964" t="s">
        <v>1226</v>
      </c>
      <c r="J303" s="877" t="s">
        <v>1785</v>
      </c>
      <c r="K303" s="876"/>
      <c r="M303" s="310" t="str">
        <f t="shared" si="41"/>
        <v>○</v>
      </c>
      <c r="O303" s="118"/>
    </row>
    <row r="304" spans="1:15" ht="14.25" thickBot="1">
      <c r="A304" s="289">
        <v>304</v>
      </c>
      <c r="C304" s="874"/>
      <c r="D304" s="874"/>
      <c r="E304" s="1049"/>
      <c r="F304" s="1049"/>
      <c r="G304" s="1055" t="s">
        <v>1504</v>
      </c>
      <c r="H304" s="1057" t="s">
        <v>1512</v>
      </c>
      <c r="I304" s="964" t="s">
        <v>1226</v>
      </c>
      <c r="J304" s="877" t="s">
        <v>1785</v>
      </c>
      <c r="K304" s="876"/>
      <c r="M304" s="310" t="str">
        <f t="shared" si="41"/>
        <v>○</v>
      </c>
      <c r="O304" s="118"/>
    </row>
    <row r="305" spans="1:21" ht="14.25" thickBot="1">
      <c r="A305" s="289">
        <v>305</v>
      </c>
      <c r="C305" s="874"/>
      <c r="D305" s="1049"/>
      <c r="E305" s="897"/>
      <c r="F305" s="897"/>
      <c r="G305" s="1063" t="s">
        <v>1509</v>
      </c>
      <c r="H305" s="1064" t="s">
        <v>1514</v>
      </c>
      <c r="I305" s="964" t="s">
        <v>1226</v>
      </c>
      <c r="J305" s="877" t="s">
        <v>1785</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1777</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1</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0</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1777</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1777</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1777</v>
      </c>
      <c r="K313" s="309"/>
      <c r="M313" s="310" t="str">
        <f t="shared" ref="M313:M340" si="46">+IF(I313="A",IF(ISBLANK(J313),"未入力あり",IF(J313="はい","○","×")),"")</f>
        <v>○</v>
      </c>
      <c r="O313" s="118"/>
    </row>
    <row r="314" spans="1:21" ht="41.25" thickBot="1">
      <c r="A314" s="289">
        <v>314</v>
      </c>
      <c r="C314" s="312"/>
      <c r="D314" s="893"/>
      <c r="E314" s="1046"/>
      <c r="F314" s="1016"/>
      <c r="G314" s="1016"/>
      <c r="H314" s="941" t="s">
        <v>1425</v>
      </c>
      <c r="I314" s="1067" t="s">
        <v>1323</v>
      </c>
      <c r="J314" s="100" t="s">
        <v>1786</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1777</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1777</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1777</v>
      </c>
      <c r="K317" s="352"/>
      <c r="M317" s="310" t="str">
        <f t="shared" si="47"/>
        <v>〇</v>
      </c>
      <c r="O317" s="118"/>
    </row>
    <row r="318" spans="1:21" ht="41.25" thickBot="1">
      <c r="A318" s="289">
        <v>318</v>
      </c>
      <c r="B318" s="312"/>
      <c r="C318" s="312"/>
      <c r="D318" s="893"/>
      <c r="E318" s="1046"/>
      <c r="F318" s="1016"/>
      <c r="G318" s="1016"/>
      <c r="H318" s="944" t="s">
        <v>1425</v>
      </c>
      <c r="I318" s="1067" t="s">
        <v>1323</v>
      </c>
      <c r="J318" s="100" t="s">
        <v>1786</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1777</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1777</v>
      </c>
      <c r="K320" s="352"/>
      <c r="M320" s="310" t="str">
        <f t="shared" si="47"/>
        <v>〇</v>
      </c>
      <c r="O320" s="118"/>
    </row>
    <row r="321" spans="1:21" ht="41.25" thickBot="1">
      <c r="A321" s="289">
        <v>321</v>
      </c>
      <c r="B321" s="312"/>
      <c r="C321" s="312"/>
      <c r="D321" s="893"/>
      <c r="E321" s="1046"/>
      <c r="F321" s="1016"/>
      <c r="G321" s="1016"/>
      <c r="H321" s="944" t="s">
        <v>1425</v>
      </c>
      <c r="I321" s="1067" t="s">
        <v>1323</v>
      </c>
      <c r="J321" s="100" t="s">
        <v>1786</v>
      </c>
      <c r="K321" s="345"/>
      <c r="M321" s="310" t="str">
        <f t="shared" si="47"/>
        <v>〇</v>
      </c>
      <c r="O321" s="118"/>
    </row>
    <row r="322" spans="1:21" ht="14.25" thickBot="1">
      <c r="A322" s="289">
        <v>322</v>
      </c>
      <c r="B322" s="312"/>
      <c r="C322" s="312"/>
      <c r="D322" s="893"/>
      <c r="E322" s="1046"/>
      <c r="F322" s="1016"/>
      <c r="G322" s="368"/>
      <c r="H322" s="366" t="s">
        <v>689</v>
      </c>
      <c r="I322" s="382" t="s">
        <v>533</v>
      </c>
      <c r="J322" s="66" t="s">
        <v>1777</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1777</v>
      </c>
      <c r="K323" s="1070"/>
      <c r="M323" s="310" t="str">
        <f t="shared" si="47"/>
        <v>〇</v>
      </c>
      <c r="O323" s="118"/>
    </row>
    <row r="324" spans="1:21" ht="41.25" thickBot="1">
      <c r="A324" s="289">
        <v>324</v>
      </c>
      <c r="B324" s="312"/>
      <c r="C324" s="312"/>
      <c r="D324" s="893"/>
      <c r="E324" s="1046"/>
      <c r="F324" s="1016"/>
      <c r="G324" s="368"/>
      <c r="H324" s="944" t="s">
        <v>1425</v>
      </c>
      <c r="I324" s="1067" t="s">
        <v>1323</v>
      </c>
      <c r="J324" s="100" t="s">
        <v>1786</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1777</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1777</v>
      </c>
      <c r="K326" s="1070"/>
      <c r="M326" s="310" t="str">
        <f t="shared" si="47"/>
        <v>〇</v>
      </c>
      <c r="O326" s="118"/>
    </row>
    <row r="327" spans="1:21" ht="41.25" thickBot="1">
      <c r="A327" s="289">
        <v>327</v>
      </c>
      <c r="B327" s="312"/>
      <c r="C327" s="312"/>
      <c r="D327" s="893"/>
      <c r="E327" s="1046"/>
      <c r="F327" s="1016"/>
      <c r="G327" s="368"/>
      <c r="H327" s="944" t="s">
        <v>1425</v>
      </c>
      <c r="I327" s="1067" t="s">
        <v>1323</v>
      </c>
      <c r="J327" s="100" t="s">
        <v>1786</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1777</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1777</v>
      </c>
      <c r="K329" s="1070"/>
      <c r="M329" s="310" t="str">
        <f t="shared" si="47"/>
        <v>〇</v>
      </c>
      <c r="O329" s="118"/>
    </row>
    <row r="330" spans="1:21" ht="41.25" thickBot="1">
      <c r="A330" s="289">
        <v>330</v>
      </c>
      <c r="B330" s="312"/>
      <c r="C330" s="312"/>
      <c r="D330" s="893"/>
      <c r="E330" s="1046"/>
      <c r="F330" s="1016"/>
      <c r="G330" s="368"/>
      <c r="H330" s="944" t="s">
        <v>1425</v>
      </c>
      <c r="I330" s="1067" t="s">
        <v>1323</v>
      </c>
      <c r="J330" s="100" t="s">
        <v>1786</v>
      </c>
      <c r="K330" s="980"/>
      <c r="M330" s="310" t="str">
        <f t="shared" si="47"/>
        <v>〇</v>
      </c>
      <c r="O330" s="118"/>
    </row>
    <row r="331" spans="1:21" ht="14.25" thickBot="1">
      <c r="A331" s="289">
        <v>331</v>
      </c>
      <c r="C331" s="312"/>
      <c r="D331" s="893"/>
      <c r="E331" s="1046"/>
      <c r="F331" s="1016"/>
      <c r="G331" s="368"/>
      <c r="H331" s="899" t="s">
        <v>691</v>
      </c>
      <c r="I331" s="1071" t="s">
        <v>1226</v>
      </c>
      <c r="J331" s="971" t="s">
        <v>1777</v>
      </c>
      <c r="K331" s="986"/>
      <c r="M331" s="310" t="str">
        <f t="shared" si="46"/>
        <v>○</v>
      </c>
      <c r="O331" s="118"/>
    </row>
    <row r="332" spans="1:21" ht="14.25" thickBot="1">
      <c r="A332" s="289">
        <v>332</v>
      </c>
      <c r="C332" s="312"/>
      <c r="D332" s="893"/>
      <c r="E332" s="889" t="s">
        <v>1316</v>
      </c>
      <c r="F332" s="891"/>
      <c r="G332" s="319"/>
      <c r="H332" s="896" t="s">
        <v>692</v>
      </c>
      <c r="I332" s="1066" t="s">
        <v>1226</v>
      </c>
      <c r="J332" s="971" t="s">
        <v>1777</v>
      </c>
      <c r="K332" s="987"/>
      <c r="M332" s="310" t="str">
        <f t="shared" si="46"/>
        <v>○</v>
      </c>
      <c r="O332" s="118"/>
    </row>
    <row r="333" spans="1:21" ht="27.75" thickBot="1">
      <c r="A333" s="289">
        <v>333</v>
      </c>
      <c r="C333" s="312"/>
      <c r="D333" s="893"/>
      <c r="E333" s="1046"/>
      <c r="F333" s="1016"/>
      <c r="G333" s="368"/>
      <c r="H333" s="899" t="s">
        <v>1337</v>
      </c>
      <c r="I333" s="1072" t="s">
        <v>1226</v>
      </c>
      <c r="J333" s="971" t="s">
        <v>1777</v>
      </c>
      <c r="K333" s="983"/>
      <c r="M333" s="310" t="str">
        <f t="shared" si="46"/>
        <v>○</v>
      </c>
      <c r="O333" s="118"/>
    </row>
    <row r="334" spans="1:21" ht="14.25" thickBot="1">
      <c r="A334" s="289">
        <v>334</v>
      </c>
      <c r="C334" s="312"/>
      <c r="D334" s="893"/>
      <c r="E334" s="889" t="s">
        <v>1317</v>
      </c>
      <c r="F334" s="891"/>
      <c r="G334" s="319"/>
      <c r="H334" s="896" t="s">
        <v>693</v>
      </c>
      <c r="I334" s="1073" t="s">
        <v>1226</v>
      </c>
      <c r="J334" s="971" t="s">
        <v>1777</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14</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1777</v>
      </c>
      <c r="K336" s="972"/>
      <c r="M336" s="310" t="str">
        <f t="shared" si="46"/>
        <v>○</v>
      </c>
      <c r="O336" s="118"/>
      <c r="T336" s="333"/>
      <c r="U336" s="334"/>
    </row>
    <row r="337" spans="1:21" ht="41.25" thickBot="1">
      <c r="A337" s="289">
        <v>337</v>
      </c>
      <c r="C337" s="312"/>
      <c r="D337" s="893"/>
      <c r="E337" s="1025"/>
      <c r="F337" s="1002"/>
      <c r="G337" s="380"/>
      <c r="H337" s="998" t="s">
        <v>1425</v>
      </c>
      <c r="I337" s="1067" t="s">
        <v>1339</v>
      </c>
      <c r="J337" s="100" t="s">
        <v>1787</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1777</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1777</v>
      </c>
      <c r="K339" s="980"/>
      <c r="M339" s="310" t="str">
        <f t="shared" si="46"/>
        <v>○</v>
      </c>
      <c r="O339" s="118"/>
    </row>
    <row r="340" spans="1:21" ht="27.75" thickBot="1">
      <c r="A340" s="289">
        <v>340</v>
      </c>
      <c r="C340" s="325"/>
      <c r="D340" s="897"/>
      <c r="E340" s="1025"/>
      <c r="F340" s="1002"/>
      <c r="G340" s="369"/>
      <c r="H340" s="899" t="s">
        <v>698</v>
      </c>
      <c r="I340" s="1072" t="s">
        <v>1226</v>
      </c>
      <c r="J340" s="971" t="s">
        <v>1777</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1777</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1777</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1777</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3</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1777</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1777</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1777</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1787</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1777</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1777</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1777</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1777</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1788</v>
      </c>
      <c r="K357" s="1083" t="s">
        <v>1591</v>
      </c>
      <c r="M357" s="310" t="str">
        <f t="shared" si="50"/>
        <v>〇</v>
      </c>
      <c r="O357" s="118"/>
    </row>
    <row r="358" spans="1:15" ht="14.25" thickBot="1">
      <c r="A358" s="289">
        <v>358</v>
      </c>
      <c r="C358" s="312"/>
      <c r="D358" s="377"/>
      <c r="E358" s="378"/>
      <c r="F358" s="378"/>
      <c r="G358" s="379"/>
      <c r="H358" s="918" t="s">
        <v>1642</v>
      </c>
      <c r="I358" s="1084" t="s">
        <v>533</v>
      </c>
      <c r="J358" s="100">
        <v>202206</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490</v>
      </c>
      <c r="C4" t="s">
        <v>1594</v>
      </c>
    </row>
    <row r="5" spans="1:17">
      <c r="A5" t="s">
        <v>412</v>
      </c>
      <c r="B5" s="385">
        <v>1400</v>
      </c>
      <c r="C5" t="s">
        <v>1476</v>
      </c>
    </row>
    <row r="6" spans="1:17" ht="14.25" thickBot="1">
      <c r="A6" t="s">
        <v>719</v>
      </c>
      <c r="B6" s="80">
        <f>IFERROR(B5*12,"")</f>
        <v>16800</v>
      </c>
      <c r="C6" t="s">
        <v>720</v>
      </c>
    </row>
    <row r="7" spans="1:17" ht="14.25" thickBot="1">
      <c r="A7" t="s">
        <v>721</v>
      </c>
      <c r="B7" s="81">
        <f>IFERROR(B4/B6,"")</f>
        <v>2.9166666666666667E-2</v>
      </c>
      <c r="C7" t="s">
        <v>722</v>
      </c>
    </row>
    <row r="10" spans="1:17">
      <c r="A10" t="s">
        <v>1713</v>
      </c>
    </row>
    <row r="11" spans="1:17">
      <c r="A11" t="s">
        <v>1714</v>
      </c>
    </row>
    <row r="12" spans="1:17">
      <c r="A12" t="s">
        <v>1715</v>
      </c>
    </row>
    <row r="13" spans="1:17">
      <c r="B13" s="1266" t="s">
        <v>1716</v>
      </c>
      <c r="C13" s="1266"/>
      <c r="D13" s="1266"/>
      <c r="E13" s="1266"/>
      <c r="F13" s="1266"/>
      <c r="G13" s="1266"/>
      <c r="H13" s="1266"/>
      <c r="I13" s="1266"/>
      <c r="J13" s="1266"/>
      <c r="K13" s="1266"/>
      <c r="L13" s="1266"/>
      <c r="M13" s="1266"/>
      <c r="N13" s="1266"/>
      <c r="O13" s="1266"/>
      <c r="P13" s="1266"/>
      <c r="Q13" s="1266"/>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9" t="s">
        <v>723</v>
      </c>
      <c r="B1" s="1270"/>
      <c r="C1" s="1270"/>
      <c r="D1" s="1270"/>
      <c r="E1" s="1270"/>
      <c r="F1" s="1270"/>
      <c r="I1" s="83"/>
      <c r="J1" s="85"/>
    </row>
    <row r="2" spans="1:10" ht="24.95" customHeight="1" thickTop="1" thickBot="1">
      <c r="A2" s="1271" t="s">
        <v>724</v>
      </c>
      <c r="B2" s="1272"/>
      <c r="C2" s="1272"/>
      <c r="D2" s="1272"/>
      <c r="E2" s="1272"/>
      <c r="F2" s="388" t="str">
        <f>IF(COUNTIF(G:G,"未入力")&gt;=1,"未入力",IF(COUNTIF(G:G,"入力済")=0,"不要","入力済"))</f>
        <v>不要</v>
      </c>
      <c r="G2" s="1281"/>
      <c r="H2" s="1278"/>
      <c r="I2" s="104"/>
    </row>
    <row r="3" spans="1:10" ht="5.0999999999999996" customHeight="1" thickTop="1">
      <c r="G3" s="1281"/>
      <c r="H3" s="1278"/>
      <c r="I3" s="389"/>
      <c r="J3" s="390"/>
    </row>
    <row r="4" spans="1:10" ht="20.100000000000001" customHeight="1">
      <c r="D4" s="391" t="s">
        <v>725</v>
      </c>
      <c r="E4" s="1273" t="str">
        <f>表紙!E2</f>
        <v>医療法人徳洲会　松原徳洲会病院</v>
      </c>
      <c r="F4" s="1274"/>
      <c r="G4" s="1281"/>
      <c r="H4" s="1278"/>
      <c r="I4" s="392"/>
      <c r="J4" s="139" t="s">
        <v>204</v>
      </c>
    </row>
    <row r="5" spans="1:10" ht="20.100000000000001" customHeight="1">
      <c r="D5" s="391" t="s">
        <v>878</v>
      </c>
      <c r="E5" t="s">
        <v>1678</v>
      </c>
      <c r="F5"/>
      <c r="J5" s="74"/>
    </row>
    <row r="6" spans="1:10" ht="54" customHeight="1">
      <c r="A6" s="1275" t="s">
        <v>1679</v>
      </c>
      <c r="B6" s="1275"/>
      <c r="C6" s="1275"/>
      <c r="D6" s="1275"/>
      <c r="E6" s="1275"/>
      <c r="F6" s="1275"/>
      <c r="J6" s="74"/>
    </row>
    <row r="7" spans="1:10" ht="30" customHeight="1" thickBot="1">
      <c r="A7" s="393"/>
      <c r="B7" s="394" t="s">
        <v>726</v>
      </c>
      <c r="C7" s="1198" t="s">
        <v>1708</v>
      </c>
      <c r="D7" s="395" t="s">
        <v>727</v>
      </c>
      <c r="E7" s="1276" t="s">
        <v>728</v>
      </c>
      <c r="F7" s="1277"/>
      <c r="J7" s="74"/>
    </row>
    <row r="8" spans="1:10" customFormat="1" ht="62.25" customHeight="1" thickBot="1">
      <c r="A8" s="396" t="s">
        <v>729</v>
      </c>
      <c r="B8" s="397">
        <v>126</v>
      </c>
      <c r="C8" s="398" t="s">
        <v>1530</v>
      </c>
      <c r="D8" s="1199" t="s">
        <v>1709</v>
      </c>
      <c r="E8" s="1279" t="s">
        <v>1710</v>
      </c>
      <c r="F8" s="1280"/>
      <c r="G8" s="400"/>
      <c r="I8" s="49"/>
      <c r="J8" s="74"/>
    </row>
    <row r="9" spans="1:10" customFormat="1" ht="62.25" customHeight="1" thickBot="1">
      <c r="A9" s="401">
        <v>1</v>
      </c>
      <c r="B9" s="397"/>
      <c r="C9" s="398" t="str">
        <f>+IFERROR(VLOOKUP($B9,'様式４(機能別)'!$A:$K,8,0),"")</f>
        <v/>
      </c>
      <c r="D9" s="105"/>
      <c r="E9" s="1267"/>
      <c r="F9" s="1268"/>
      <c r="G9" s="402" t="str">
        <f>IF(B9&lt;&gt;"",IF(AND(D9&lt;&gt;"",E9&lt;&gt;""),"入力済","未入力"),"不要")</f>
        <v>不要</v>
      </c>
      <c r="I9" s="49"/>
      <c r="J9" s="74"/>
    </row>
    <row r="10" spans="1:10" ht="62.25" customHeight="1" thickBot="1">
      <c r="A10" s="401">
        <v>2</v>
      </c>
      <c r="B10" s="77"/>
      <c r="C10" s="399" t="str">
        <f>+IFERROR(VLOOKUP($B10,'様式４(機能別)'!$A:$K,8,0),"")</f>
        <v/>
      </c>
      <c r="D10" s="105"/>
      <c r="E10" s="1267"/>
      <c r="F10" s="1268"/>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7"/>
      <c r="F11" s="1268"/>
      <c r="G11" s="402" t="str">
        <f>IF(B11&lt;&gt;"",IF(AND(D11&lt;&gt;"",E11&lt;&gt;""),"入力済","未入力"),"不要")</f>
        <v>不要</v>
      </c>
      <c r="H11" s="403"/>
      <c r="J11" s="116"/>
    </row>
    <row r="12" spans="1:10" ht="62.25" customHeight="1" thickBot="1">
      <c r="A12" s="401">
        <v>4</v>
      </c>
      <c r="B12" s="77"/>
      <c r="C12" s="399" t="str">
        <f>+IFERROR(VLOOKUP($B12,'様式４(機能別)'!$A:$K,8,0),"")</f>
        <v/>
      </c>
      <c r="D12" s="105"/>
      <c r="E12" s="1267"/>
      <c r="F12" s="1268"/>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7"/>
      <c r="F13" s="1268"/>
      <c r="G13" s="386" t="str">
        <f t="shared" si="0"/>
        <v>不要</v>
      </c>
      <c r="J13" s="74"/>
    </row>
    <row r="14" spans="1:10" ht="62.25" customHeight="1" thickBot="1">
      <c r="A14" s="401">
        <v>6</v>
      </c>
      <c r="B14" s="77"/>
      <c r="C14" s="399" t="str">
        <f>+IFERROR(VLOOKUP($B14,'様式４(機能別)'!$A:$K,8,0),"")</f>
        <v/>
      </c>
      <c r="D14" s="105"/>
      <c r="E14" s="1267"/>
      <c r="F14" s="1268"/>
      <c r="G14" s="402" t="str">
        <f t="shared" si="0"/>
        <v>不要</v>
      </c>
      <c r="H14" s="405"/>
      <c r="I14" s="404"/>
      <c r="J14" s="74"/>
    </row>
    <row r="15" spans="1:10" ht="62.25" customHeight="1" thickBot="1">
      <c r="A15" s="401">
        <v>7</v>
      </c>
      <c r="B15" s="77"/>
      <c r="C15" s="399" t="str">
        <f>+IFERROR(VLOOKUP($B15,'様式４(機能別)'!$A:$K,8,0),"")</f>
        <v/>
      </c>
      <c r="D15" s="105"/>
      <c r="E15" s="1267"/>
      <c r="F15" s="1268"/>
      <c r="G15" s="402" t="str">
        <f t="shared" si="0"/>
        <v>不要</v>
      </c>
      <c r="H15" s="405"/>
      <c r="J15" s="74"/>
    </row>
    <row r="16" spans="1:10" ht="62.25" customHeight="1" thickBot="1">
      <c r="A16" s="401">
        <v>8</v>
      </c>
      <c r="B16" s="77"/>
      <c r="C16" s="399" t="str">
        <f>+IFERROR(VLOOKUP($B16,'様式４(機能別)'!$A:$K,8,0),"")</f>
        <v/>
      </c>
      <c r="D16" s="105"/>
      <c r="E16" s="1267"/>
      <c r="F16" s="1268"/>
      <c r="G16" s="386" t="str">
        <f t="shared" si="0"/>
        <v>不要</v>
      </c>
      <c r="J16" s="74"/>
    </row>
    <row r="17" spans="1:10" ht="62.25" customHeight="1" thickBot="1">
      <c r="A17" s="401">
        <v>9</v>
      </c>
      <c r="B17" s="77"/>
      <c r="C17" s="399" t="str">
        <f>+IFERROR(VLOOKUP($B17,'様式４(機能別)'!$A:$K,8,0),"")</f>
        <v/>
      </c>
      <c r="D17" s="105"/>
      <c r="E17" s="1267"/>
      <c r="F17" s="1268"/>
      <c r="G17" s="386" t="str">
        <f t="shared" si="0"/>
        <v>不要</v>
      </c>
      <c r="J17" s="74"/>
    </row>
    <row r="18" spans="1:10" ht="62.25" customHeight="1" thickBot="1">
      <c r="A18" s="401">
        <v>10</v>
      </c>
      <c r="B18" s="77"/>
      <c r="C18" s="399" t="str">
        <f>+IFERROR(VLOOKUP($B18,'様式４(機能別)'!$A:$K,8,0),"")</f>
        <v/>
      </c>
      <c r="D18" s="105"/>
      <c r="E18" s="1267"/>
      <c r="F18" s="1268"/>
      <c r="G18" s="386" t="str">
        <f t="shared" si="0"/>
        <v>不要</v>
      </c>
      <c r="J18" s="74"/>
    </row>
    <row r="19" spans="1:10" ht="62.25" customHeight="1" thickBot="1">
      <c r="A19" s="401">
        <v>11</v>
      </c>
      <c r="B19" s="77"/>
      <c r="C19" s="399" t="str">
        <f>+IFERROR(VLOOKUP($B19,'様式４(機能別)'!$A:$K,8,0),"")</f>
        <v/>
      </c>
      <c r="D19" s="105"/>
      <c r="E19" s="1267"/>
      <c r="F19" s="1268"/>
      <c r="G19" s="386" t="str">
        <f t="shared" si="0"/>
        <v>不要</v>
      </c>
      <c r="J19" s="74"/>
    </row>
    <row r="20" spans="1:10" ht="62.25" customHeight="1" thickBot="1">
      <c r="A20" s="401">
        <v>12</v>
      </c>
      <c r="B20" s="77"/>
      <c r="C20" s="399" t="str">
        <f>+IFERROR(VLOOKUP($B20,'様式４(機能別)'!$A:$K,8,0),"")</f>
        <v/>
      </c>
      <c r="D20" s="105"/>
      <c r="E20" s="1267"/>
      <c r="F20" s="1268"/>
      <c r="G20" s="386" t="str">
        <f t="shared" si="0"/>
        <v>不要</v>
      </c>
      <c r="J20" s="74"/>
    </row>
    <row r="21" spans="1:10" ht="62.25" customHeight="1" thickBot="1">
      <c r="A21" s="401">
        <v>13</v>
      </c>
      <c r="B21" s="77"/>
      <c r="C21" s="399" t="str">
        <f>+IFERROR(VLOOKUP($B21,'様式４(機能別)'!$A:$K,8,0),"")</f>
        <v/>
      </c>
      <c r="D21" s="105"/>
      <c r="E21" s="1267"/>
      <c r="F21" s="1268"/>
      <c r="G21" s="386" t="str">
        <f t="shared" si="0"/>
        <v>不要</v>
      </c>
      <c r="J21" s="74"/>
    </row>
    <row r="22" spans="1:10" ht="62.25" customHeight="1" thickBot="1">
      <c r="A22" s="401">
        <v>14</v>
      </c>
      <c r="B22" s="77"/>
      <c r="C22" s="399" t="str">
        <f>+IFERROR(VLOOKUP($B22,'様式４(機能別)'!$A:$K,8,0),"")</f>
        <v/>
      </c>
      <c r="D22" s="105"/>
      <c r="E22" s="1267"/>
      <c r="F22" s="1268"/>
      <c r="G22" s="386" t="str">
        <f t="shared" si="0"/>
        <v>不要</v>
      </c>
      <c r="J22" s="74"/>
    </row>
    <row r="23" spans="1:10" ht="62.25" customHeight="1" thickBot="1">
      <c r="A23" s="401">
        <v>15</v>
      </c>
      <c r="B23" s="77"/>
      <c r="C23" s="399" t="str">
        <f>+IFERROR(VLOOKUP($B23,'様式４(機能別)'!$A:$K,8,0),"")</f>
        <v/>
      </c>
      <c r="D23" s="105"/>
      <c r="E23" s="1267"/>
      <c r="F23" s="1268"/>
      <c r="G23" s="386" t="str">
        <f t="shared" si="0"/>
        <v>不要</v>
      </c>
      <c r="J23" s="74"/>
    </row>
    <row r="24" spans="1:10" ht="62.25" customHeight="1" thickBot="1">
      <c r="A24" s="401">
        <v>16</v>
      </c>
      <c r="B24" s="77"/>
      <c r="C24" s="399" t="str">
        <f>+IFERROR(VLOOKUP($B24,'様式４(機能別)'!$A:$K,8,0),"")</f>
        <v/>
      </c>
      <c r="D24" s="105"/>
      <c r="E24" s="1267"/>
      <c r="F24" s="1268"/>
      <c r="G24" s="386" t="str">
        <f t="shared" si="0"/>
        <v>不要</v>
      </c>
      <c r="I24" s="406"/>
      <c r="J24" s="820"/>
    </row>
    <row r="25" spans="1:10" ht="62.25" customHeight="1" thickBot="1">
      <c r="A25" s="401">
        <v>17</v>
      </c>
      <c r="B25" s="77"/>
      <c r="C25" s="399" t="str">
        <f>+IFERROR(VLOOKUP($B25,'様式４(機能別)'!$A:$K,8,0),"")</f>
        <v/>
      </c>
      <c r="D25" s="105"/>
      <c r="E25" s="1267"/>
      <c r="F25" s="1268"/>
      <c r="G25" s="386" t="str">
        <f t="shared" si="0"/>
        <v>不要</v>
      </c>
      <c r="J25" s="820"/>
    </row>
    <row r="26" spans="1:10" ht="62.25" customHeight="1" thickBot="1">
      <c r="A26" s="401">
        <v>18</v>
      </c>
      <c r="B26" s="77"/>
      <c r="C26" s="399" t="str">
        <f>+IFERROR(VLOOKUP($B26,'様式４(機能別)'!$A:$K,8,0),"")</f>
        <v/>
      </c>
      <c r="D26" s="105"/>
      <c r="E26" s="1267"/>
      <c r="F26" s="1268"/>
      <c r="G26" s="386" t="str">
        <f t="shared" si="0"/>
        <v>不要</v>
      </c>
      <c r="J26" s="820"/>
    </row>
    <row r="27" spans="1:10" ht="62.25" customHeight="1" thickBot="1">
      <c r="A27" s="401">
        <v>19</v>
      </c>
      <c r="B27" s="77"/>
      <c r="C27" s="399" t="str">
        <f>+IFERROR(VLOOKUP($B27,'様式４(機能別)'!$A:$K,8,0),"")</f>
        <v/>
      </c>
      <c r="D27" s="105"/>
      <c r="E27" s="1267"/>
      <c r="F27" s="1268"/>
      <c r="G27" s="386" t="str">
        <f t="shared" si="0"/>
        <v>不要</v>
      </c>
      <c r="J27" s="820"/>
    </row>
    <row r="28" spans="1:10" ht="62.25" customHeight="1" thickBot="1">
      <c r="A28" s="401">
        <v>20</v>
      </c>
      <c r="B28" s="77"/>
      <c r="C28" s="399" t="str">
        <f>+IFERROR(VLOOKUP($B28,'様式４(機能別)'!$A:$K,8,0),"")</f>
        <v/>
      </c>
      <c r="D28" s="105"/>
      <c r="E28" s="1267"/>
      <c r="F28" s="1268"/>
      <c r="G28" s="386" t="str">
        <f t="shared" si="0"/>
        <v>不要</v>
      </c>
      <c r="J28" s="820"/>
    </row>
    <row r="29" spans="1:10" ht="62.25" customHeight="1" thickBot="1">
      <c r="A29" s="401">
        <v>21</v>
      </c>
      <c r="B29" s="77"/>
      <c r="C29" s="399" t="str">
        <f>+IFERROR(VLOOKUP($B29,'様式４(機能別)'!$A:$K,8,0),"")</f>
        <v/>
      </c>
      <c r="D29" s="105"/>
      <c r="E29" s="1267"/>
      <c r="F29" s="1268"/>
      <c r="G29" s="386" t="str">
        <f t="shared" si="0"/>
        <v>不要</v>
      </c>
      <c r="J29" s="820"/>
    </row>
    <row r="30" spans="1:10" ht="62.25" customHeight="1" thickBot="1">
      <c r="A30" s="401">
        <v>22</v>
      </c>
      <c r="B30" s="77"/>
      <c r="C30" s="399" t="str">
        <f>+IFERROR(VLOOKUP($B30,'様式４(機能別)'!$A:$K,8,0),"")</f>
        <v/>
      </c>
      <c r="D30" s="105"/>
      <c r="E30" s="1267"/>
      <c r="F30" s="1268"/>
      <c r="J30" s="820"/>
    </row>
    <row r="31" spans="1:10" ht="62.25" customHeight="1" thickBot="1">
      <c r="A31" s="401">
        <v>23</v>
      </c>
      <c r="B31" s="77"/>
      <c r="C31" s="399" t="str">
        <f>+IFERROR(VLOOKUP($B31,'様式４(機能別)'!$A:$K,8,0),"")</f>
        <v/>
      </c>
      <c r="D31" s="105"/>
      <c r="E31" s="1267"/>
      <c r="F31" s="1268"/>
      <c r="J31" s="820"/>
    </row>
    <row r="32" spans="1:10" ht="62.25" customHeight="1" thickBot="1">
      <c r="A32" s="401">
        <v>24</v>
      </c>
      <c r="B32" s="77"/>
      <c r="C32" s="399" t="str">
        <f>+IFERROR(VLOOKUP($B32,'様式４(機能別)'!$A:$K,8,0),"")</f>
        <v/>
      </c>
      <c r="D32" s="105"/>
      <c r="E32" s="1267"/>
      <c r="F32" s="1268"/>
      <c r="J32" s="820"/>
    </row>
    <row r="33" spans="1:10" ht="62.25" customHeight="1" thickBot="1">
      <c r="A33" s="401">
        <v>25</v>
      </c>
      <c r="B33" s="77"/>
      <c r="C33" s="399" t="str">
        <f>+IFERROR(VLOOKUP($B33,'様式４(機能別)'!$A:$K,8,0),"")</f>
        <v/>
      </c>
      <c r="D33" s="105"/>
      <c r="E33" s="1267"/>
      <c r="F33" s="1268"/>
      <c r="J33" s="820"/>
    </row>
    <row r="34" spans="1:10" ht="62.25" customHeight="1" thickBot="1">
      <c r="A34" s="401">
        <v>26</v>
      </c>
      <c r="B34" s="77"/>
      <c r="C34" s="399" t="str">
        <f>+IFERROR(VLOOKUP($B34,'様式４(機能別)'!$A:$K,8,0),"")</f>
        <v/>
      </c>
      <c r="D34" s="105"/>
      <c r="E34" s="1267"/>
      <c r="F34" s="1268"/>
      <c r="J34" s="820"/>
    </row>
    <row r="35" spans="1:10" ht="62.25" customHeight="1" thickBot="1">
      <c r="A35" s="401">
        <v>27</v>
      </c>
      <c r="B35" s="77"/>
      <c r="C35" s="399" t="str">
        <f>+IFERROR(VLOOKUP($B35,'様式４(機能別)'!$A:$K,8,0),"")</f>
        <v/>
      </c>
      <c r="D35" s="105"/>
      <c r="E35" s="1267"/>
      <c r="F35" s="1268"/>
      <c r="J35" s="820"/>
    </row>
    <row r="36" spans="1:10" ht="62.25" customHeight="1" thickBot="1">
      <c r="A36" s="401">
        <v>28</v>
      </c>
      <c r="B36" s="77"/>
      <c r="C36" s="399" t="str">
        <f>+IFERROR(VLOOKUP($B36,'様式４(機能別)'!$A:$K,8,0),"")</f>
        <v/>
      </c>
      <c r="D36" s="105"/>
      <c r="E36" s="1267"/>
      <c r="F36" s="1268"/>
      <c r="J36" s="820"/>
    </row>
    <row r="37" spans="1:10" ht="62.25" customHeight="1" thickBot="1">
      <c r="A37" s="401">
        <v>29</v>
      </c>
      <c r="B37" s="77"/>
      <c r="C37" s="399" t="str">
        <f>+IFERROR(VLOOKUP($B37,'様式４(機能別)'!$A:$K,8,0),"")</f>
        <v/>
      </c>
      <c r="D37" s="105"/>
      <c r="E37" s="1267"/>
      <c r="F37" s="1268"/>
      <c r="J37" s="820"/>
    </row>
    <row r="38" spans="1:10" ht="62.25" customHeight="1" thickBot="1">
      <c r="A38" s="401">
        <v>30</v>
      </c>
      <c r="B38" s="77"/>
      <c r="C38" s="399" t="str">
        <f>+IFERROR(VLOOKUP($B38,'様式４(機能別)'!$A:$K,8,0),"")</f>
        <v/>
      </c>
      <c r="D38" s="105"/>
      <c r="E38" s="1267"/>
      <c r="F38" s="1268"/>
      <c r="J38" s="820"/>
    </row>
    <row r="39" spans="1:10" ht="62.25" customHeight="1" thickBot="1">
      <c r="A39" s="401">
        <v>31</v>
      </c>
      <c r="B39" s="77"/>
      <c r="C39" s="399" t="str">
        <f>+IFERROR(VLOOKUP($B39,'様式４(機能別)'!$A:$K,8,0),"")</f>
        <v/>
      </c>
      <c r="D39" s="105"/>
      <c r="E39" s="1267"/>
      <c r="F39" s="1268"/>
      <c r="J39" s="820"/>
    </row>
    <row r="40" spans="1:10" ht="62.25" customHeight="1" thickBot="1">
      <c r="A40" s="401">
        <v>32</v>
      </c>
      <c r="B40" s="77"/>
      <c r="C40" s="399" t="str">
        <f>+IFERROR(VLOOKUP($B40,'様式４(機能別)'!$A:$K,8,0),"")</f>
        <v/>
      </c>
      <c r="D40" s="105"/>
      <c r="E40" s="1267"/>
      <c r="F40" s="1268"/>
      <c r="J40" s="820"/>
    </row>
    <row r="41" spans="1:10" ht="62.25" customHeight="1" thickBot="1">
      <c r="A41" s="401">
        <v>33</v>
      </c>
      <c r="B41" s="77"/>
      <c r="C41" s="399" t="str">
        <f>+IFERROR(VLOOKUP($B41,'様式４(機能別)'!$A:$K,8,0),"")</f>
        <v/>
      </c>
      <c r="D41" s="105"/>
      <c r="E41" s="1267"/>
      <c r="F41" s="1268"/>
      <c r="J41" s="820"/>
    </row>
    <row r="42" spans="1:10" ht="62.25" customHeight="1" thickBot="1">
      <c r="A42" s="401">
        <v>34</v>
      </c>
      <c r="B42" s="77"/>
      <c r="C42" s="399" t="str">
        <f>+IFERROR(VLOOKUP($B42,'様式４(機能別)'!$A:$K,8,0),"")</f>
        <v/>
      </c>
      <c r="D42" s="105"/>
      <c r="E42" s="1267"/>
      <c r="F42" s="1268"/>
      <c r="J42" s="820"/>
    </row>
    <row r="43" spans="1:10" ht="62.25" customHeight="1" thickBot="1">
      <c r="A43" s="401">
        <v>35</v>
      </c>
      <c r="B43" s="77"/>
      <c r="C43" s="399" t="str">
        <f>+IFERROR(VLOOKUP($B43,'様式４(機能別)'!$A:$K,8,0),"")</f>
        <v/>
      </c>
      <c r="D43" s="105"/>
      <c r="E43" s="1267"/>
      <c r="F43" s="1268"/>
      <c r="J43" s="820"/>
    </row>
    <row r="44" spans="1:10" ht="62.25" customHeight="1" thickBot="1">
      <c r="A44" s="401">
        <v>36</v>
      </c>
      <c r="B44" s="77"/>
      <c r="C44" s="399" t="str">
        <f>+IFERROR(VLOOKUP($B44,'様式４(機能別)'!$A:$K,8,0),"")</f>
        <v/>
      </c>
      <c r="D44" s="105"/>
      <c r="E44" s="1267"/>
      <c r="F44" s="1268"/>
      <c r="J44" s="820"/>
    </row>
    <row r="45" spans="1:10" ht="62.25" customHeight="1" thickBot="1">
      <c r="A45" s="401">
        <v>37</v>
      </c>
      <c r="B45" s="77"/>
      <c r="C45" s="399" t="str">
        <f>+IFERROR(VLOOKUP($B45,'様式４(機能別)'!$A:$K,8,0),"")</f>
        <v/>
      </c>
      <c r="D45" s="105"/>
      <c r="E45" s="1267"/>
      <c r="F45" s="1268"/>
      <c r="J45" s="820"/>
    </row>
    <row r="46" spans="1:10" ht="62.25" customHeight="1" thickBot="1">
      <c r="A46" s="401">
        <v>38</v>
      </c>
      <c r="B46" s="77"/>
      <c r="C46" s="399" t="str">
        <f>+IFERROR(VLOOKUP($B46,'様式４(機能別)'!$A:$K,8,0),"")</f>
        <v/>
      </c>
      <c r="D46" s="105"/>
      <c r="E46" s="1267"/>
      <c r="F46" s="1268"/>
      <c r="J46" s="820"/>
    </row>
    <row r="47" spans="1:10" ht="62.25" customHeight="1" thickBot="1">
      <c r="A47" s="401">
        <v>39</v>
      </c>
      <c r="B47" s="77"/>
      <c r="C47" s="399" t="str">
        <f>+IFERROR(VLOOKUP($B47,'様式４(機能別)'!$A:$K,8,0),"")</f>
        <v/>
      </c>
      <c r="D47" s="105"/>
      <c r="E47" s="1267"/>
      <c r="F47" s="1268"/>
      <c r="J47" s="820"/>
    </row>
    <row r="48" spans="1:10" ht="62.25" customHeight="1" thickBot="1">
      <c r="A48" s="401">
        <v>40</v>
      </c>
      <c r="B48" s="77"/>
      <c r="C48" s="399" t="str">
        <f>+IFERROR(VLOOKUP($B48,'様式４(機能別)'!$A:$K,8,0),"")</f>
        <v/>
      </c>
      <c r="D48" s="105"/>
      <c r="E48" s="1267"/>
      <c r="F48" s="1268"/>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10" zoomScale="85" zoomScaleNormal="85" zoomScaleSheetLayoutView="85" workbookViewId="0">
      <selection activeCell="J15" sqref="J15:K72"/>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1" t="s">
        <v>170</v>
      </c>
      <c r="B1" s="1291"/>
      <c r="C1" s="1291"/>
      <c r="D1" s="1291"/>
      <c r="E1" s="1291"/>
      <c r="F1" s="1291"/>
      <c r="G1" s="1291"/>
      <c r="H1" s="1291"/>
      <c r="I1" s="1291"/>
      <c r="J1" s="1291"/>
      <c r="K1" s="1291"/>
      <c r="N1" s="53"/>
      <c r="O1" s="83"/>
      <c r="P1" s="85"/>
      <c r="Q1" s="293"/>
      <c r="R1" s="293"/>
      <c r="S1" s="293"/>
      <c r="T1" s="293"/>
      <c r="U1" s="293"/>
      <c r="V1" s="293"/>
      <c r="W1" s="293"/>
      <c r="X1" s="293"/>
    </row>
    <row r="2" spans="1:24" customFormat="1" ht="24.95" customHeight="1" thickTop="1" thickBot="1">
      <c r="A2" s="408"/>
      <c r="B2" s="1272" t="s">
        <v>730</v>
      </c>
      <c r="C2" s="1272"/>
      <c r="D2" s="1272"/>
      <c r="E2" s="1272"/>
      <c r="F2" s="1272"/>
      <c r="G2" s="1272"/>
      <c r="H2" s="1272"/>
      <c r="I2" s="1272"/>
      <c r="J2" s="1292"/>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3" t="str">
        <f>表紙!E2</f>
        <v>医療法人徳洲会　松原徳洲会病院</v>
      </c>
      <c r="H4" s="1294"/>
      <c r="I4" s="1294"/>
      <c r="J4" s="1294"/>
      <c r="K4" s="1295"/>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6" t="s">
        <v>1682</v>
      </c>
      <c r="B6" s="1296"/>
      <c r="C6" s="1296"/>
      <c r="D6" s="1296"/>
      <c r="E6" s="1296"/>
      <c r="F6" s="1296"/>
      <c r="G6" s="1296"/>
      <c r="H6" s="1296"/>
      <c r="I6" s="1296"/>
      <c r="J6" s="1296"/>
      <c r="K6" s="1296"/>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7" t="s">
        <v>738</v>
      </c>
      <c r="C11" s="1298"/>
      <c r="D11" s="1298"/>
      <c r="E11" s="1298"/>
      <c r="F11" s="1298"/>
      <c r="G11" s="1299"/>
      <c r="H11" s="1300" t="s">
        <v>1654</v>
      </c>
      <c r="I11" s="1300"/>
      <c r="J11" s="1300"/>
      <c r="P11" s="120"/>
      <c r="Q11" s="823"/>
    </row>
    <row r="12" spans="1:24">
      <c r="A12" s="420"/>
      <c r="B12" s="1286" t="s">
        <v>739</v>
      </c>
      <c r="C12" s="1287"/>
      <c r="D12" s="1287"/>
      <c r="E12" s="1287"/>
      <c r="F12" s="1288"/>
      <c r="G12" s="1284" t="s">
        <v>740</v>
      </c>
      <c r="H12" s="1301" t="s">
        <v>741</v>
      </c>
      <c r="I12" s="1302"/>
      <c r="J12" s="1301" t="s">
        <v>742</v>
      </c>
      <c r="K12" s="421" t="s">
        <v>743</v>
      </c>
      <c r="P12" s="120"/>
      <c r="Q12" s="823"/>
    </row>
    <row r="13" spans="1:24" ht="13.5" customHeight="1">
      <c r="A13" s="1289" t="s">
        <v>744</v>
      </c>
      <c r="B13" s="1284" t="s">
        <v>745</v>
      </c>
      <c r="C13" s="1286" t="s">
        <v>746</v>
      </c>
      <c r="D13" s="1287"/>
      <c r="E13" s="1288"/>
      <c r="F13" s="1284" t="s">
        <v>747</v>
      </c>
      <c r="G13" s="1303"/>
      <c r="H13" s="1282" t="s">
        <v>1643</v>
      </c>
      <c r="I13" s="1282" t="s">
        <v>1681</v>
      </c>
      <c r="J13" s="1285"/>
      <c r="K13" s="422"/>
      <c r="P13" s="120"/>
      <c r="Q13" s="823"/>
    </row>
    <row r="14" spans="1:24" ht="57.75" customHeight="1">
      <c r="A14" s="1290"/>
      <c r="B14" s="1285"/>
      <c r="C14" s="423" t="s">
        <v>748</v>
      </c>
      <c r="D14" s="423" t="s">
        <v>749</v>
      </c>
      <c r="E14" s="423" t="s">
        <v>750</v>
      </c>
      <c r="F14" s="1285"/>
      <c r="G14" s="1285"/>
      <c r="H14" s="1283"/>
      <c r="I14" s="1283"/>
      <c r="J14" s="1283"/>
      <c r="K14" s="424" t="s">
        <v>751</v>
      </c>
      <c r="P14" s="120"/>
      <c r="Q14" s="823"/>
    </row>
    <row r="15" spans="1:24">
      <c r="A15" s="425" t="s">
        <v>752</v>
      </c>
      <c r="B15" s="76" t="s">
        <v>1789</v>
      </c>
      <c r="C15" s="76" t="s">
        <v>1789</v>
      </c>
      <c r="D15" s="76" t="s">
        <v>1790</v>
      </c>
      <c r="E15" s="76" t="s">
        <v>1789</v>
      </c>
      <c r="F15" s="76" t="s">
        <v>1789</v>
      </c>
      <c r="G15" s="76" t="s">
        <v>1791</v>
      </c>
      <c r="H15" s="1161" t="s">
        <v>753</v>
      </c>
      <c r="I15" s="1161"/>
      <c r="J15" s="825" t="s">
        <v>1793</v>
      </c>
      <c r="K15" s="826"/>
      <c r="M15" s="409" t="str">
        <f>IF(COUNTBLANK(B15:G15)=0,"○","×")</f>
        <v>○</v>
      </c>
      <c r="N15" s="409" t="str">
        <f>IF(AND(COUNTIF(B15:F15,"◎")&gt;=1,J15=""),"×","○")</f>
        <v>○</v>
      </c>
      <c r="P15" s="120"/>
      <c r="Q15" s="823"/>
    </row>
    <row r="16" spans="1:24">
      <c r="A16" s="425" t="s">
        <v>754</v>
      </c>
      <c r="B16" s="76" t="s">
        <v>1789</v>
      </c>
      <c r="C16" s="426"/>
      <c r="D16" s="76" t="s">
        <v>1790</v>
      </c>
      <c r="E16" s="76" t="s">
        <v>1789</v>
      </c>
      <c r="F16" s="76" t="s">
        <v>1789</v>
      </c>
      <c r="G16" s="76" t="s">
        <v>1791</v>
      </c>
      <c r="H16" s="1161"/>
      <c r="I16" s="1161"/>
      <c r="J16" s="825" t="s">
        <v>1793</v>
      </c>
      <c r="K16" s="826"/>
      <c r="M16" s="427" t="str">
        <f>IF(OR(B16="",D16="",E16="",F16="",G16=""),"×","○")</f>
        <v>○</v>
      </c>
      <c r="N16" s="409" t="str">
        <f>IF(AND(COUNTIF(B16:F16,"◎")&gt;=1,J16=""),"×","○")</f>
        <v>○</v>
      </c>
      <c r="P16" s="120"/>
      <c r="Q16" s="823"/>
    </row>
    <row r="17" spans="1:17">
      <c r="A17" s="425" t="s">
        <v>755</v>
      </c>
      <c r="B17" s="76" t="s">
        <v>1789</v>
      </c>
      <c r="C17" s="76" t="s">
        <v>1789</v>
      </c>
      <c r="D17" s="76" t="s">
        <v>1790</v>
      </c>
      <c r="E17" s="76" t="s">
        <v>829</v>
      </c>
      <c r="F17" s="76" t="s">
        <v>1789</v>
      </c>
      <c r="G17" s="76" t="s">
        <v>1791</v>
      </c>
      <c r="H17" s="1161"/>
      <c r="I17" s="1161"/>
      <c r="J17" s="825" t="s">
        <v>1793</v>
      </c>
      <c r="K17" s="826"/>
      <c r="M17" s="409" t="str">
        <f t="shared" ref="M17:M80" si="0">IF(COUNTBLANK(B17:G17)=0,"○","×")</f>
        <v>○</v>
      </c>
      <c r="N17" s="409" t="str">
        <f t="shared" ref="N17:N80" si="1">IF(AND(COUNTIF(B17:F17,"◎")&gt;=1,J17=""),"×","○")</f>
        <v>○</v>
      </c>
      <c r="P17" s="120"/>
      <c r="Q17" s="823"/>
    </row>
    <row r="18" spans="1:17">
      <c r="A18" s="425" t="s">
        <v>756</v>
      </c>
      <c r="B18" s="76" t="s">
        <v>1790</v>
      </c>
      <c r="C18" s="76" t="s">
        <v>1790</v>
      </c>
      <c r="D18" s="76" t="s">
        <v>1790</v>
      </c>
      <c r="E18" s="76" t="s">
        <v>1789</v>
      </c>
      <c r="F18" s="76" t="s">
        <v>1789</v>
      </c>
      <c r="G18" s="76" t="s">
        <v>1791</v>
      </c>
      <c r="H18" s="1161"/>
      <c r="I18" s="1161"/>
      <c r="J18" s="825" t="s">
        <v>1794</v>
      </c>
      <c r="K18" s="826"/>
      <c r="M18" s="409" t="str">
        <f t="shared" si="0"/>
        <v>○</v>
      </c>
      <c r="N18" s="409" t="str">
        <f t="shared" si="1"/>
        <v>○</v>
      </c>
      <c r="P18" s="120"/>
      <c r="Q18" s="823"/>
    </row>
    <row r="19" spans="1:17">
      <c r="A19" s="425" t="s">
        <v>757</v>
      </c>
      <c r="B19" s="76" t="s">
        <v>1790</v>
      </c>
      <c r="C19" s="76" t="s">
        <v>1790</v>
      </c>
      <c r="D19" s="76" t="s">
        <v>1790</v>
      </c>
      <c r="E19" s="76" t="s">
        <v>1790</v>
      </c>
      <c r="F19" s="76" t="s">
        <v>1790</v>
      </c>
      <c r="G19" s="76" t="s">
        <v>1791</v>
      </c>
      <c r="H19" s="1161"/>
      <c r="I19" s="1161"/>
      <c r="J19" s="825" t="s">
        <v>1795</v>
      </c>
      <c r="K19" s="826"/>
      <c r="M19" s="409" t="str">
        <f t="shared" si="0"/>
        <v>○</v>
      </c>
      <c r="N19" s="409" t="str">
        <f t="shared" si="1"/>
        <v>○</v>
      </c>
      <c r="P19" s="120"/>
      <c r="Q19" s="823"/>
    </row>
    <row r="20" spans="1:17">
      <c r="A20" s="425" t="s">
        <v>758</v>
      </c>
      <c r="B20" s="76" t="s">
        <v>1789</v>
      </c>
      <c r="C20" s="76" t="s">
        <v>1789</v>
      </c>
      <c r="D20" s="76" t="s">
        <v>1790</v>
      </c>
      <c r="E20" s="76" t="s">
        <v>1790</v>
      </c>
      <c r="F20" s="76" t="s">
        <v>1790</v>
      </c>
      <c r="G20" s="76" t="s">
        <v>1791</v>
      </c>
      <c r="H20" s="1161"/>
      <c r="I20" s="1161"/>
      <c r="J20" s="825" t="s">
        <v>1796</v>
      </c>
      <c r="K20" s="826"/>
      <c r="M20" s="409" t="str">
        <f t="shared" si="0"/>
        <v>○</v>
      </c>
      <c r="N20" s="409" t="str">
        <f t="shared" si="1"/>
        <v>○</v>
      </c>
      <c r="P20" s="120"/>
      <c r="Q20" s="823"/>
    </row>
    <row r="21" spans="1:17">
      <c r="A21" s="425" t="s">
        <v>759</v>
      </c>
      <c r="B21" s="76" t="s">
        <v>1790</v>
      </c>
      <c r="C21" s="76" t="s">
        <v>1790</v>
      </c>
      <c r="D21" s="76" t="s">
        <v>1790</v>
      </c>
      <c r="E21" s="76" t="s">
        <v>1789</v>
      </c>
      <c r="F21" s="76" t="s">
        <v>1789</v>
      </c>
      <c r="G21" s="76" t="s">
        <v>1791</v>
      </c>
      <c r="H21" s="1161" t="s">
        <v>760</v>
      </c>
      <c r="I21" s="1161"/>
      <c r="J21" s="825" t="s">
        <v>1795</v>
      </c>
      <c r="K21" s="826"/>
      <c r="M21" s="409" t="str">
        <f t="shared" si="0"/>
        <v>○</v>
      </c>
      <c r="N21" s="409" t="str">
        <f t="shared" si="1"/>
        <v>○</v>
      </c>
      <c r="P21" s="120"/>
      <c r="Q21" s="823"/>
    </row>
    <row r="22" spans="1:17">
      <c r="A22" s="425" t="s">
        <v>761</v>
      </c>
      <c r="B22" s="76" t="s">
        <v>1790</v>
      </c>
      <c r="C22" s="76" t="s">
        <v>1790</v>
      </c>
      <c r="D22" s="76" t="s">
        <v>1790</v>
      </c>
      <c r="E22" s="76" t="s">
        <v>1790</v>
      </c>
      <c r="F22" s="76" t="s">
        <v>1790</v>
      </c>
      <c r="G22" s="76" t="s">
        <v>1791</v>
      </c>
      <c r="H22" s="1161"/>
      <c r="I22" s="1161"/>
      <c r="J22" s="825" t="s">
        <v>1795</v>
      </c>
      <c r="K22" s="826"/>
      <c r="M22" s="409" t="str">
        <f t="shared" si="0"/>
        <v>○</v>
      </c>
      <c r="N22" s="409" t="str">
        <f t="shared" si="1"/>
        <v>○</v>
      </c>
      <c r="P22" s="120"/>
      <c r="Q22" s="823"/>
    </row>
    <row r="23" spans="1:17">
      <c r="A23" s="425" t="s">
        <v>762</v>
      </c>
      <c r="B23" s="76" t="s">
        <v>1790</v>
      </c>
      <c r="C23" s="76" t="s">
        <v>1790</v>
      </c>
      <c r="D23" s="76" t="s">
        <v>1790</v>
      </c>
      <c r="E23" s="76" t="s">
        <v>1790</v>
      </c>
      <c r="F23" s="76" t="s">
        <v>1790</v>
      </c>
      <c r="G23" s="76" t="s">
        <v>1791</v>
      </c>
      <c r="H23" s="1161"/>
      <c r="I23" s="1161"/>
      <c r="J23" s="825" t="s">
        <v>1795</v>
      </c>
      <c r="K23" s="826"/>
      <c r="M23" s="409" t="str">
        <f t="shared" si="0"/>
        <v>○</v>
      </c>
      <c r="N23" s="409" t="str">
        <f t="shared" si="1"/>
        <v>○</v>
      </c>
      <c r="P23" s="120"/>
      <c r="Q23" s="823"/>
    </row>
    <row r="24" spans="1:17">
      <c r="A24" s="425" t="s">
        <v>763</v>
      </c>
      <c r="B24" s="76" t="s">
        <v>1790</v>
      </c>
      <c r="C24" s="76" t="s">
        <v>1790</v>
      </c>
      <c r="D24" s="76" t="s">
        <v>1790</v>
      </c>
      <c r="E24" s="76" t="s">
        <v>1790</v>
      </c>
      <c r="F24" s="76" t="s">
        <v>1790</v>
      </c>
      <c r="G24" s="76" t="s">
        <v>1791</v>
      </c>
      <c r="H24" s="1161"/>
      <c r="I24" s="1161"/>
      <c r="J24" s="825" t="s">
        <v>1795</v>
      </c>
      <c r="K24" s="826"/>
      <c r="M24" s="409" t="str">
        <f t="shared" si="0"/>
        <v>○</v>
      </c>
      <c r="N24" s="409" t="str">
        <f t="shared" si="1"/>
        <v>○</v>
      </c>
      <c r="P24" s="120"/>
      <c r="Q24" s="823"/>
    </row>
    <row r="25" spans="1:17">
      <c r="A25" s="425" t="s">
        <v>764</v>
      </c>
      <c r="B25" s="76" t="s">
        <v>1790</v>
      </c>
      <c r="C25" s="76" t="s">
        <v>1790</v>
      </c>
      <c r="D25" s="76" t="s">
        <v>1790</v>
      </c>
      <c r="E25" s="76" t="s">
        <v>1790</v>
      </c>
      <c r="F25" s="76" t="s">
        <v>1790</v>
      </c>
      <c r="G25" s="76" t="s">
        <v>1791</v>
      </c>
      <c r="H25" s="1161"/>
      <c r="I25" s="1161"/>
      <c r="J25" s="825" t="s">
        <v>1795</v>
      </c>
      <c r="K25" s="826"/>
      <c r="M25" s="409" t="str">
        <f t="shared" si="0"/>
        <v>○</v>
      </c>
      <c r="N25" s="409" t="str">
        <f t="shared" si="1"/>
        <v>○</v>
      </c>
      <c r="P25" s="120"/>
      <c r="Q25" s="823"/>
    </row>
    <row r="26" spans="1:17" ht="27">
      <c r="A26" s="425" t="s">
        <v>765</v>
      </c>
      <c r="B26" s="76" t="s">
        <v>1789</v>
      </c>
      <c r="C26" s="76" t="s">
        <v>1789</v>
      </c>
      <c r="D26" s="76" t="s">
        <v>1790</v>
      </c>
      <c r="E26" s="76" t="s">
        <v>1790</v>
      </c>
      <c r="F26" s="76" t="s">
        <v>1790</v>
      </c>
      <c r="G26" s="76" t="s">
        <v>1791</v>
      </c>
      <c r="H26" s="1161"/>
      <c r="I26" s="1161"/>
      <c r="J26" s="825" t="s">
        <v>1797</v>
      </c>
      <c r="K26" s="826"/>
      <c r="M26" s="409" t="str">
        <f t="shared" si="0"/>
        <v>○</v>
      </c>
      <c r="N26" s="409" t="str">
        <f t="shared" si="1"/>
        <v>○</v>
      </c>
      <c r="P26" s="120"/>
      <c r="Q26" s="823"/>
    </row>
    <row r="27" spans="1:17">
      <c r="A27" s="425" t="s">
        <v>766</v>
      </c>
      <c r="B27" s="76" t="s">
        <v>1789</v>
      </c>
      <c r="C27" s="76" t="s">
        <v>1789</v>
      </c>
      <c r="D27" s="76" t="s">
        <v>1790</v>
      </c>
      <c r="E27" s="76" t="s">
        <v>1789</v>
      </c>
      <c r="F27" s="76" t="s">
        <v>1789</v>
      </c>
      <c r="G27" s="76" t="s">
        <v>1791</v>
      </c>
      <c r="H27" s="1161"/>
      <c r="I27" s="1161"/>
      <c r="J27" s="825" t="s">
        <v>1798</v>
      </c>
      <c r="K27" s="826"/>
      <c r="M27" s="409" t="str">
        <f t="shared" si="0"/>
        <v>○</v>
      </c>
      <c r="N27" s="409" t="str">
        <f t="shared" si="1"/>
        <v>○</v>
      </c>
      <c r="P27" s="120"/>
      <c r="Q27" s="823"/>
    </row>
    <row r="28" spans="1:17" ht="27">
      <c r="A28" s="425" t="s">
        <v>767</v>
      </c>
      <c r="B28" s="76" t="s">
        <v>1790</v>
      </c>
      <c r="C28" s="76" t="s">
        <v>1790</v>
      </c>
      <c r="D28" s="76" t="s">
        <v>1790</v>
      </c>
      <c r="E28" s="76" t="s">
        <v>1790</v>
      </c>
      <c r="F28" s="76" t="s">
        <v>1790</v>
      </c>
      <c r="G28" s="76" t="s">
        <v>1791</v>
      </c>
      <c r="H28" s="1161"/>
      <c r="I28" s="1161"/>
      <c r="J28" s="825" t="s">
        <v>1799</v>
      </c>
      <c r="K28" s="826"/>
      <c r="M28" s="409" t="str">
        <f t="shared" si="0"/>
        <v>○</v>
      </c>
      <c r="N28" s="409" t="str">
        <f t="shared" si="1"/>
        <v>○</v>
      </c>
      <c r="P28" s="120"/>
      <c r="Q28" s="823"/>
    </row>
    <row r="29" spans="1:17" ht="27">
      <c r="A29" s="425" t="s">
        <v>768</v>
      </c>
      <c r="B29" s="76" t="s">
        <v>1790</v>
      </c>
      <c r="C29" s="76" t="s">
        <v>1790</v>
      </c>
      <c r="D29" s="76" t="s">
        <v>1790</v>
      </c>
      <c r="E29" s="76" t="s">
        <v>829</v>
      </c>
      <c r="F29" s="76" t="s">
        <v>1790</v>
      </c>
      <c r="G29" s="76" t="s">
        <v>1791</v>
      </c>
      <c r="H29" s="1161"/>
      <c r="I29" s="1161"/>
      <c r="J29" s="825" t="s">
        <v>1799</v>
      </c>
      <c r="K29" s="826" t="s">
        <v>1800</v>
      </c>
      <c r="M29" s="409" t="str">
        <f t="shared" si="0"/>
        <v>○</v>
      </c>
      <c r="N29" s="409" t="str">
        <f t="shared" si="1"/>
        <v>○</v>
      </c>
      <c r="P29" s="120"/>
      <c r="Q29" s="823"/>
    </row>
    <row r="30" spans="1:17" ht="27">
      <c r="A30" s="425" t="s">
        <v>769</v>
      </c>
      <c r="B30" s="76" t="s">
        <v>1790</v>
      </c>
      <c r="C30" s="76" t="s">
        <v>1790</v>
      </c>
      <c r="D30" s="76" t="s">
        <v>1790</v>
      </c>
      <c r="E30" s="76" t="s">
        <v>829</v>
      </c>
      <c r="F30" s="76" t="s">
        <v>1790</v>
      </c>
      <c r="G30" s="76" t="s">
        <v>1791</v>
      </c>
      <c r="H30" s="1161"/>
      <c r="I30" s="1161"/>
      <c r="J30" s="825" t="s">
        <v>1799</v>
      </c>
      <c r="K30" s="826" t="s">
        <v>1800</v>
      </c>
      <c r="M30" s="409" t="str">
        <f t="shared" si="0"/>
        <v>○</v>
      </c>
      <c r="N30" s="409" t="str">
        <f t="shared" si="1"/>
        <v>○</v>
      </c>
      <c r="P30" s="120"/>
      <c r="Q30" s="823"/>
    </row>
    <row r="31" spans="1:17">
      <c r="A31" s="425" t="s">
        <v>770</v>
      </c>
      <c r="B31" s="76" t="s">
        <v>1790</v>
      </c>
      <c r="C31" s="76" t="s">
        <v>1790</v>
      </c>
      <c r="D31" s="76" t="s">
        <v>1790</v>
      </c>
      <c r="E31" s="76" t="s">
        <v>829</v>
      </c>
      <c r="F31" s="76" t="s">
        <v>1790</v>
      </c>
      <c r="G31" s="76" t="s">
        <v>1791</v>
      </c>
      <c r="H31" s="1161"/>
      <c r="I31" s="1161"/>
      <c r="J31" s="825" t="s">
        <v>1801</v>
      </c>
      <c r="K31" s="826"/>
      <c r="M31" s="409" t="str">
        <f>IF(COUNTBLANK(B31:G31)=0,"○","×")</f>
        <v>○</v>
      </c>
      <c r="N31" s="409" t="str">
        <f t="shared" ref="N31" si="2">IF(AND(COUNTIF(B31:F31,"◎")&gt;=1,J31=""),"×","○")</f>
        <v>○</v>
      </c>
      <c r="P31" s="120"/>
      <c r="Q31" s="823"/>
    </row>
    <row r="32" spans="1:17">
      <c r="A32" s="425" t="s">
        <v>771</v>
      </c>
      <c r="B32" s="76" t="s">
        <v>1790</v>
      </c>
      <c r="C32" s="76" t="s">
        <v>1790</v>
      </c>
      <c r="D32" s="76" t="s">
        <v>1790</v>
      </c>
      <c r="E32" s="76" t="s">
        <v>829</v>
      </c>
      <c r="F32" s="76" t="s">
        <v>1790</v>
      </c>
      <c r="G32" s="76" t="s">
        <v>1791</v>
      </c>
      <c r="H32" s="1161"/>
      <c r="I32" s="1161"/>
      <c r="J32" s="825" t="s">
        <v>1801</v>
      </c>
      <c r="K32" s="826"/>
      <c r="M32" s="409" t="str">
        <f t="shared" si="0"/>
        <v>○</v>
      </c>
      <c r="N32" s="409" t="str">
        <f t="shared" si="1"/>
        <v>○</v>
      </c>
      <c r="P32" s="120"/>
      <c r="Q32" s="823"/>
    </row>
    <row r="33" spans="1:17">
      <c r="A33" s="425" t="s">
        <v>772</v>
      </c>
      <c r="B33" s="76" t="s">
        <v>1790</v>
      </c>
      <c r="C33" s="76" t="s">
        <v>1790</v>
      </c>
      <c r="D33" s="426"/>
      <c r="E33" s="76" t="s">
        <v>1790</v>
      </c>
      <c r="F33" s="76" t="s">
        <v>1790</v>
      </c>
      <c r="G33" s="76" t="s">
        <v>1791</v>
      </c>
      <c r="H33" s="1161"/>
      <c r="I33" s="1161"/>
      <c r="J33" s="825" t="s">
        <v>1802</v>
      </c>
      <c r="K33" s="826"/>
      <c r="M33" s="427" t="str">
        <f>IF(OR(B33="",C33="",E33="",F33="",G33=""),"×","○")</f>
        <v>○</v>
      </c>
      <c r="N33" s="409" t="str">
        <f t="shared" si="1"/>
        <v>○</v>
      </c>
      <c r="P33" s="120"/>
      <c r="Q33" s="823"/>
    </row>
    <row r="34" spans="1:17">
      <c r="A34" s="425" t="s">
        <v>773</v>
      </c>
      <c r="B34" s="76" t="s">
        <v>1790</v>
      </c>
      <c r="C34" s="76" t="s">
        <v>1790</v>
      </c>
      <c r="D34" s="76" t="s">
        <v>1790</v>
      </c>
      <c r="E34" s="76" t="s">
        <v>1790</v>
      </c>
      <c r="F34" s="76" t="s">
        <v>1790</v>
      </c>
      <c r="G34" s="76" t="s">
        <v>1791</v>
      </c>
      <c r="H34" s="1161"/>
      <c r="I34" s="1161"/>
      <c r="J34" s="825" t="s">
        <v>1802</v>
      </c>
      <c r="K34" s="826"/>
      <c r="M34" s="409" t="str">
        <f t="shared" si="0"/>
        <v>○</v>
      </c>
      <c r="N34" s="409" t="str">
        <f t="shared" si="1"/>
        <v>○</v>
      </c>
      <c r="P34" s="120"/>
      <c r="Q34" s="823"/>
    </row>
    <row r="35" spans="1:17" ht="27">
      <c r="A35" s="425" t="s">
        <v>774</v>
      </c>
      <c r="B35" s="76" t="s">
        <v>1790</v>
      </c>
      <c r="C35" s="76" t="s">
        <v>1790</v>
      </c>
      <c r="D35" s="76" t="s">
        <v>1790</v>
      </c>
      <c r="E35" s="76" t="s">
        <v>829</v>
      </c>
      <c r="F35" s="76" t="s">
        <v>1790</v>
      </c>
      <c r="G35" s="76" t="s">
        <v>1791</v>
      </c>
      <c r="H35" s="1161"/>
      <c r="I35" s="1161"/>
      <c r="J35" s="825" t="s">
        <v>1799</v>
      </c>
      <c r="K35" s="826"/>
      <c r="M35" s="409" t="str">
        <f t="shared" si="0"/>
        <v>○</v>
      </c>
      <c r="N35" s="409" t="str">
        <f t="shared" si="1"/>
        <v>○</v>
      </c>
      <c r="P35" s="120"/>
      <c r="Q35" s="823"/>
    </row>
    <row r="36" spans="1:17">
      <c r="A36" s="425" t="s">
        <v>775</v>
      </c>
      <c r="B36" s="76" t="s">
        <v>1790</v>
      </c>
      <c r="C36" s="76" t="s">
        <v>1790</v>
      </c>
      <c r="D36" s="76" t="s">
        <v>1790</v>
      </c>
      <c r="E36" s="76" t="s">
        <v>829</v>
      </c>
      <c r="F36" s="76" t="s">
        <v>1790</v>
      </c>
      <c r="G36" s="76" t="s">
        <v>1791</v>
      </c>
      <c r="H36" s="1161"/>
      <c r="I36" s="1161"/>
      <c r="J36" s="825" t="s">
        <v>1801</v>
      </c>
      <c r="K36" s="826"/>
      <c r="M36" s="409" t="str">
        <f t="shared" si="0"/>
        <v>○</v>
      </c>
      <c r="N36" s="409" t="str">
        <f t="shared" si="1"/>
        <v>○</v>
      </c>
      <c r="P36" s="120"/>
      <c r="Q36" s="823"/>
    </row>
    <row r="37" spans="1:17">
      <c r="A37" s="425" t="s">
        <v>776</v>
      </c>
      <c r="B37" s="76" t="s">
        <v>829</v>
      </c>
      <c r="C37" s="76" t="s">
        <v>829</v>
      </c>
      <c r="D37" s="76" t="s">
        <v>1790</v>
      </c>
      <c r="E37" s="76" t="s">
        <v>829</v>
      </c>
      <c r="F37" s="76" t="s">
        <v>829</v>
      </c>
      <c r="G37" s="76" t="s">
        <v>1791</v>
      </c>
      <c r="H37" s="1161"/>
      <c r="I37" s="1161"/>
      <c r="J37" s="825" t="s">
        <v>1802</v>
      </c>
      <c r="K37" s="826"/>
      <c r="M37" s="409" t="str">
        <f t="shared" si="0"/>
        <v>○</v>
      </c>
      <c r="N37" s="409" t="str">
        <f t="shared" si="1"/>
        <v>○</v>
      </c>
      <c r="P37" s="120"/>
      <c r="Q37" s="823"/>
    </row>
    <row r="38" spans="1:17">
      <c r="A38" s="425" t="s">
        <v>777</v>
      </c>
      <c r="B38" s="76" t="s">
        <v>1789</v>
      </c>
      <c r="C38" s="76" t="s">
        <v>1789</v>
      </c>
      <c r="D38" s="76" t="s">
        <v>1790</v>
      </c>
      <c r="E38" s="76" t="s">
        <v>1789</v>
      </c>
      <c r="F38" s="76" t="s">
        <v>1789</v>
      </c>
      <c r="G38" s="76" t="s">
        <v>1791</v>
      </c>
      <c r="H38" s="1161"/>
      <c r="I38" s="1161"/>
      <c r="J38" s="825" t="s">
        <v>1802</v>
      </c>
      <c r="K38" s="826"/>
      <c r="M38" s="409" t="str">
        <f t="shared" si="0"/>
        <v>○</v>
      </c>
      <c r="N38" s="409" t="str">
        <f t="shared" si="1"/>
        <v>○</v>
      </c>
      <c r="P38" s="120"/>
      <c r="Q38" s="823"/>
    </row>
    <row r="39" spans="1:17">
      <c r="A39" s="425" t="s">
        <v>778</v>
      </c>
      <c r="B39" s="76" t="s">
        <v>829</v>
      </c>
      <c r="C39" s="76" t="s">
        <v>829</v>
      </c>
      <c r="D39" s="76" t="s">
        <v>1790</v>
      </c>
      <c r="E39" s="76" t="s">
        <v>829</v>
      </c>
      <c r="F39" s="76" t="s">
        <v>829</v>
      </c>
      <c r="G39" s="76" t="s">
        <v>1791</v>
      </c>
      <c r="H39" s="1161"/>
      <c r="I39" s="1161"/>
      <c r="J39" s="825" t="s">
        <v>1802</v>
      </c>
      <c r="K39" s="826"/>
      <c r="M39" s="409" t="str">
        <f t="shared" si="0"/>
        <v>○</v>
      </c>
      <c r="N39" s="409" t="str">
        <f t="shared" si="1"/>
        <v>○</v>
      </c>
      <c r="P39" s="120"/>
      <c r="Q39" s="823"/>
    </row>
    <row r="40" spans="1:17">
      <c r="A40" s="425" t="s">
        <v>779</v>
      </c>
      <c r="B40" s="76" t="s">
        <v>1789</v>
      </c>
      <c r="C40" s="76" t="s">
        <v>1789</v>
      </c>
      <c r="D40" s="76" t="s">
        <v>1790</v>
      </c>
      <c r="E40" s="76" t="s">
        <v>1789</v>
      </c>
      <c r="F40" s="76" t="s">
        <v>1789</v>
      </c>
      <c r="G40" s="76" t="s">
        <v>1791</v>
      </c>
      <c r="H40" s="1161"/>
      <c r="I40" s="1161"/>
      <c r="J40" s="825" t="s">
        <v>1802</v>
      </c>
      <c r="K40" s="826"/>
      <c r="M40" s="409" t="str">
        <f t="shared" si="0"/>
        <v>○</v>
      </c>
      <c r="N40" s="409" t="str">
        <f t="shared" si="1"/>
        <v>○</v>
      </c>
      <c r="P40" s="120"/>
      <c r="Q40" s="823"/>
    </row>
    <row r="41" spans="1:17">
      <c r="A41" s="425" t="s">
        <v>780</v>
      </c>
      <c r="B41" s="76" t="s">
        <v>1789</v>
      </c>
      <c r="C41" s="76" t="s">
        <v>1789</v>
      </c>
      <c r="D41" s="76" t="s">
        <v>1790</v>
      </c>
      <c r="E41" s="76" t="s">
        <v>1789</v>
      </c>
      <c r="F41" s="76" t="s">
        <v>1789</v>
      </c>
      <c r="G41" s="76" t="s">
        <v>1791</v>
      </c>
      <c r="H41" s="1161"/>
      <c r="I41" s="1161"/>
      <c r="J41" s="825" t="s">
        <v>1802</v>
      </c>
      <c r="K41" s="826"/>
      <c r="M41" s="409" t="str">
        <f>IF(COUNTBLANK(B41:G41)=0,"○","×")</f>
        <v>○</v>
      </c>
      <c r="N41" s="409" t="str">
        <f t="shared" si="1"/>
        <v>○</v>
      </c>
      <c r="P41" s="120"/>
      <c r="Q41" s="823"/>
    </row>
    <row r="42" spans="1:17">
      <c r="A42" s="425" t="s">
        <v>781</v>
      </c>
      <c r="B42" s="76" t="s">
        <v>829</v>
      </c>
      <c r="C42" s="76" t="s">
        <v>829</v>
      </c>
      <c r="D42" s="426"/>
      <c r="E42" s="76" t="s">
        <v>829</v>
      </c>
      <c r="F42" s="76" t="s">
        <v>829</v>
      </c>
      <c r="G42" s="76" t="s">
        <v>1791</v>
      </c>
      <c r="H42" s="1161"/>
      <c r="I42" s="1161"/>
      <c r="J42" s="825" t="s">
        <v>1802</v>
      </c>
      <c r="K42" s="826"/>
      <c r="M42" s="427" t="str">
        <f>IF(OR(B42="",C42="",E42="",F42="",G42=""),"×","○")</f>
        <v>○</v>
      </c>
      <c r="N42" s="409" t="str">
        <f t="shared" si="1"/>
        <v>○</v>
      </c>
      <c r="P42" s="120"/>
      <c r="Q42" s="823"/>
    </row>
    <row r="43" spans="1:17">
      <c r="A43" s="425" t="s">
        <v>782</v>
      </c>
      <c r="B43" s="76" t="s">
        <v>829</v>
      </c>
      <c r="C43" s="76" t="s">
        <v>829</v>
      </c>
      <c r="D43" s="76" t="s">
        <v>1790</v>
      </c>
      <c r="E43" s="76" t="s">
        <v>829</v>
      </c>
      <c r="F43" s="76" t="s">
        <v>829</v>
      </c>
      <c r="G43" s="76" t="s">
        <v>1791</v>
      </c>
      <c r="H43" s="1161" t="s">
        <v>783</v>
      </c>
      <c r="I43" s="1161"/>
      <c r="J43" s="825" t="s">
        <v>1802</v>
      </c>
      <c r="K43" s="826"/>
      <c r="M43" s="409" t="str">
        <f t="shared" si="0"/>
        <v>○</v>
      </c>
      <c r="N43" s="409" t="str">
        <f t="shared" si="1"/>
        <v>○</v>
      </c>
      <c r="P43" s="120"/>
      <c r="Q43" s="823"/>
    </row>
    <row r="44" spans="1:17">
      <c r="A44" s="425" t="s">
        <v>784</v>
      </c>
      <c r="B44" s="76" t="s">
        <v>829</v>
      </c>
      <c r="C44" s="76" t="s">
        <v>829</v>
      </c>
      <c r="D44" s="76" t="s">
        <v>1790</v>
      </c>
      <c r="E44" s="76" t="s">
        <v>829</v>
      </c>
      <c r="F44" s="76" t="s">
        <v>829</v>
      </c>
      <c r="G44" s="76" t="s">
        <v>1791</v>
      </c>
      <c r="H44" s="1161"/>
      <c r="I44" s="1161"/>
      <c r="J44" s="825" t="s">
        <v>1802</v>
      </c>
      <c r="K44" s="826"/>
      <c r="M44" s="409" t="str">
        <f t="shared" si="0"/>
        <v>○</v>
      </c>
      <c r="N44" s="409" t="str">
        <f t="shared" si="1"/>
        <v>○</v>
      </c>
      <c r="P44" s="120"/>
      <c r="Q44" s="823"/>
    </row>
    <row r="45" spans="1:17">
      <c r="A45" s="425" t="s">
        <v>785</v>
      </c>
      <c r="B45" s="76" t="s">
        <v>829</v>
      </c>
      <c r="C45" s="76" t="s">
        <v>829</v>
      </c>
      <c r="D45" s="76" t="s">
        <v>1790</v>
      </c>
      <c r="E45" s="76" t="s">
        <v>829</v>
      </c>
      <c r="F45" s="76" t="s">
        <v>829</v>
      </c>
      <c r="G45" s="76" t="s">
        <v>1791</v>
      </c>
      <c r="H45" s="1161" t="s">
        <v>786</v>
      </c>
      <c r="I45" s="1161"/>
      <c r="J45" s="825" t="s">
        <v>1802</v>
      </c>
      <c r="K45" s="826"/>
      <c r="M45" s="409" t="str">
        <f t="shared" si="0"/>
        <v>○</v>
      </c>
      <c r="N45" s="409" t="str">
        <f t="shared" si="1"/>
        <v>○</v>
      </c>
      <c r="P45" s="120"/>
      <c r="Q45" s="823"/>
    </row>
    <row r="46" spans="1:17">
      <c r="A46" s="425" t="s">
        <v>787</v>
      </c>
      <c r="B46" s="76" t="s">
        <v>829</v>
      </c>
      <c r="C46" s="76" t="s">
        <v>829</v>
      </c>
      <c r="D46" s="76" t="s">
        <v>1790</v>
      </c>
      <c r="E46" s="76" t="s">
        <v>829</v>
      </c>
      <c r="F46" s="76" t="s">
        <v>829</v>
      </c>
      <c r="G46" s="76" t="s">
        <v>1791</v>
      </c>
      <c r="H46" s="1161"/>
      <c r="I46" s="1161"/>
      <c r="J46" s="825" t="s">
        <v>1802</v>
      </c>
      <c r="K46" s="826"/>
      <c r="M46" s="409" t="str">
        <f t="shared" si="0"/>
        <v>○</v>
      </c>
      <c r="N46" s="409" t="str">
        <f t="shared" si="1"/>
        <v>○</v>
      </c>
      <c r="P46" s="120"/>
      <c r="Q46" s="823"/>
    </row>
    <row r="47" spans="1:17">
      <c r="A47" s="425" t="s">
        <v>788</v>
      </c>
      <c r="B47" s="76" t="s">
        <v>829</v>
      </c>
      <c r="C47" s="76" t="s">
        <v>829</v>
      </c>
      <c r="D47" s="76" t="s">
        <v>1790</v>
      </c>
      <c r="E47" s="76" t="s">
        <v>829</v>
      </c>
      <c r="F47" s="76" t="s">
        <v>829</v>
      </c>
      <c r="G47" s="76" t="s">
        <v>1791</v>
      </c>
      <c r="H47" s="1161" t="s">
        <v>783</v>
      </c>
      <c r="I47" s="1161"/>
      <c r="J47" s="825" t="s">
        <v>1802</v>
      </c>
      <c r="K47" s="826"/>
      <c r="M47" s="409" t="str">
        <f t="shared" si="0"/>
        <v>○</v>
      </c>
      <c r="N47" s="409" t="str">
        <f t="shared" si="1"/>
        <v>○</v>
      </c>
      <c r="P47" s="120"/>
      <c r="Q47" s="823"/>
    </row>
    <row r="48" spans="1:17">
      <c r="A48" s="425" t="s">
        <v>789</v>
      </c>
      <c r="B48" s="76" t="s">
        <v>1790</v>
      </c>
      <c r="C48" s="76" t="s">
        <v>1790</v>
      </c>
      <c r="D48" s="426"/>
      <c r="E48" s="76" t="s">
        <v>1790</v>
      </c>
      <c r="F48" s="76" t="s">
        <v>1790</v>
      </c>
      <c r="G48" s="76" t="s">
        <v>1791</v>
      </c>
      <c r="H48" s="1162"/>
      <c r="I48" s="1162"/>
      <c r="J48" s="825" t="s">
        <v>1802</v>
      </c>
      <c r="K48" s="826"/>
      <c r="M48" s="427" t="str">
        <f>IF(OR(B48="",C48="",E48="",F48="",G48=""),"×","○")</f>
        <v>○</v>
      </c>
      <c r="N48" s="409" t="str">
        <f t="shared" si="1"/>
        <v>○</v>
      </c>
      <c r="P48" s="120"/>
      <c r="Q48" s="823"/>
    </row>
    <row r="49" spans="1:17">
      <c r="A49" s="425" t="s">
        <v>790</v>
      </c>
      <c r="B49" s="76" t="s">
        <v>1790</v>
      </c>
      <c r="C49" s="76" t="s">
        <v>1790</v>
      </c>
      <c r="D49" s="76" t="s">
        <v>1790</v>
      </c>
      <c r="E49" s="76" t="s">
        <v>1790</v>
      </c>
      <c r="F49" s="76" t="s">
        <v>1790</v>
      </c>
      <c r="G49" s="76" t="s">
        <v>1791</v>
      </c>
      <c r="H49" s="1162"/>
      <c r="I49" s="1162"/>
      <c r="J49" s="825" t="s">
        <v>1803</v>
      </c>
      <c r="K49" s="826"/>
      <c r="M49" s="409" t="str">
        <f t="shared" si="0"/>
        <v>○</v>
      </c>
      <c r="N49" s="409" t="str">
        <f t="shared" si="1"/>
        <v>○</v>
      </c>
      <c r="P49" s="120"/>
      <c r="Q49" s="823"/>
    </row>
    <row r="50" spans="1:17">
      <c r="A50" s="425" t="s">
        <v>791</v>
      </c>
      <c r="B50" s="76" t="s">
        <v>1790</v>
      </c>
      <c r="C50" s="76" t="s">
        <v>1790</v>
      </c>
      <c r="D50" s="76" t="s">
        <v>1790</v>
      </c>
      <c r="E50" s="76" t="s">
        <v>1790</v>
      </c>
      <c r="F50" s="76" t="s">
        <v>1790</v>
      </c>
      <c r="G50" s="76" t="s">
        <v>1791</v>
      </c>
      <c r="H50" s="1161"/>
      <c r="I50" s="1161"/>
      <c r="J50" s="825" t="s">
        <v>1804</v>
      </c>
      <c r="K50" s="826"/>
      <c r="M50" s="409" t="str">
        <f t="shared" si="0"/>
        <v>○</v>
      </c>
      <c r="N50" s="409" t="str">
        <f t="shared" si="1"/>
        <v>○</v>
      </c>
      <c r="P50" s="120"/>
      <c r="Q50" s="823"/>
    </row>
    <row r="51" spans="1:17">
      <c r="A51" s="425" t="s">
        <v>792</v>
      </c>
      <c r="B51" s="76" t="s">
        <v>1789</v>
      </c>
      <c r="C51" s="76" t="s">
        <v>1789</v>
      </c>
      <c r="D51" s="426"/>
      <c r="E51" s="76" t="s">
        <v>1789</v>
      </c>
      <c r="F51" s="76" t="s">
        <v>1789</v>
      </c>
      <c r="G51" s="76" t="s">
        <v>1791</v>
      </c>
      <c r="H51" s="1161"/>
      <c r="I51" s="1161"/>
      <c r="J51" s="825" t="s">
        <v>1804</v>
      </c>
      <c r="K51" s="826"/>
      <c r="M51" s="427" t="str">
        <f>IF(OR(B51="",C51="",E51="",F51="",G51=""),"×","○")</f>
        <v>○</v>
      </c>
      <c r="N51" s="409" t="str">
        <f t="shared" si="1"/>
        <v>○</v>
      </c>
      <c r="P51" s="120"/>
      <c r="Q51" s="823"/>
    </row>
    <row r="52" spans="1:17">
      <c r="A52" s="425" t="s">
        <v>793</v>
      </c>
      <c r="B52" s="76" t="s">
        <v>1790</v>
      </c>
      <c r="C52" s="76" t="s">
        <v>1790</v>
      </c>
      <c r="D52" s="76" t="s">
        <v>1790</v>
      </c>
      <c r="E52" s="76" t="s">
        <v>1790</v>
      </c>
      <c r="F52" s="76" t="s">
        <v>1790</v>
      </c>
      <c r="G52" s="76" t="s">
        <v>1791</v>
      </c>
      <c r="H52" s="1161"/>
      <c r="I52" s="1161"/>
      <c r="J52" s="825" t="s">
        <v>1804</v>
      </c>
      <c r="K52" s="826"/>
      <c r="M52" s="409" t="str">
        <f>IF(COUNTBLANK(B52:G52)=0,"○","×")</f>
        <v>○</v>
      </c>
      <c r="N52" s="409" t="str">
        <f t="shared" si="1"/>
        <v>○</v>
      </c>
      <c r="P52" s="120"/>
      <c r="Q52" s="823"/>
    </row>
    <row r="53" spans="1:17">
      <c r="A53" s="425" t="s">
        <v>794</v>
      </c>
      <c r="B53" s="76" t="s">
        <v>829</v>
      </c>
      <c r="C53" s="76" t="s">
        <v>829</v>
      </c>
      <c r="D53" s="76" t="s">
        <v>1790</v>
      </c>
      <c r="E53" s="76" t="s">
        <v>829</v>
      </c>
      <c r="F53" s="76" t="s">
        <v>829</v>
      </c>
      <c r="G53" s="76" t="s">
        <v>1791</v>
      </c>
      <c r="H53" s="1161"/>
      <c r="I53" s="1161"/>
      <c r="J53" s="825" t="s">
        <v>1804</v>
      </c>
      <c r="K53" s="826"/>
      <c r="M53" s="409" t="str">
        <f t="shared" si="0"/>
        <v>○</v>
      </c>
      <c r="N53" s="409" t="str">
        <f t="shared" si="1"/>
        <v>○</v>
      </c>
      <c r="P53" s="120"/>
      <c r="Q53" s="823"/>
    </row>
    <row r="54" spans="1:17">
      <c r="A54" s="425" t="s">
        <v>795</v>
      </c>
      <c r="B54" s="76" t="s">
        <v>1789</v>
      </c>
      <c r="C54" s="76" t="s">
        <v>1789</v>
      </c>
      <c r="D54" s="76" t="s">
        <v>1790</v>
      </c>
      <c r="E54" s="76" t="s">
        <v>1789</v>
      </c>
      <c r="F54" s="76" t="s">
        <v>1789</v>
      </c>
      <c r="G54" s="76" t="s">
        <v>1791</v>
      </c>
      <c r="H54" s="1161" t="s">
        <v>796</v>
      </c>
      <c r="I54" s="1161"/>
      <c r="J54" s="825" t="s">
        <v>1804</v>
      </c>
      <c r="K54" s="826"/>
      <c r="M54" s="409" t="str">
        <f t="shared" si="0"/>
        <v>○</v>
      </c>
      <c r="N54" s="409" t="str">
        <f t="shared" si="1"/>
        <v>○</v>
      </c>
      <c r="P54" s="120"/>
      <c r="Q54" s="823"/>
    </row>
    <row r="55" spans="1:17">
      <c r="A55" s="425" t="s">
        <v>797</v>
      </c>
      <c r="B55" s="76" t="s">
        <v>829</v>
      </c>
      <c r="C55" s="76" t="s">
        <v>829</v>
      </c>
      <c r="D55" s="76" t="s">
        <v>1790</v>
      </c>
      <c r="E55" s="76" t="s">
        <v>829</v>
      </c>
      <c r="F55" s="76" t="s">
        <v>829</v>
      </c>
      <c r="G55" s="76" t="s">
        <v>1791</v>
      </c>
      <c r="H55" s="1161"/>
      <c r="I55" s="1161"/>
      <c r="J55" s="825" t="s">
        <v>1804</v>
      </c>
      <c r="K55" s="826"/>
      <c r="M55" s="409" t="str">
        <f t="shared" si="0"/>
        <v>○</v>
      </c>
      <c r="N55" s="409" t="str">
        <f t="shared" si="1"/>
        <v>○</v>
      </c>
      <c r="P55" s="120"/>
      <c r="Q55" s="823"/>
    </row>
    <row r="56" spans="1:17">
      <c r="A56" s="425" t="s">
        <v>798</v>
      </c>
      <c r="B56" s="76" t="s">
        <v>1789</v>
      </c>
      <c r="C56" s="76" t="s">
        <v>1789</v>
      </c>
      <c r="D56" s="76" t="s">
        <v>1790</v>
      </c>
      <c r="E56" s="76" t="s">
        <v>1789</v>
      </c>
      <c r="F56" s="76" t="s">
        <v>1789</v>
      </c>
      <c r="G56" s="76" t="s">
        <v>1791</v>
      </c>
      <c r="H56" s="1161"/>
      <c r="I56" s="1161"/>
      <c r="J56" s="825" t="s">
        <v>1804</v>
      </c>
      <c r="K56" s="826"/>
      <c r="M56" s="409" t="str">
        <f t="shared" si="0"/>
        <v>○</v>
      </c>
      <c r="N56" s="409" t="str">
        <f t="shared" si="1"/>
        <v>○</v>
      </c>
      <c r="P56" s="120"/>
      <c r="Q56" s="823"/>
    </row>
    <row r="57" spans="1:17">
      <c r="A57" s="425" t="s">
        <v>799</v>
      </c>
      <c r="B57" s="76" t="s">
        <v>1790</v>
      </c>
      <c r="C57" s="76" t="s">
        <v>1790</v>
      </c>
      <c r="D57" s="76" t="s">
        <v>1790</v>
      </c>
      <c r="E57" s="76" t="s">
        <v>829</v>
      </c>
      <c r="F57" s="76" t="s">
        <v>1790</v>
      </c>
      <c r="G57" s="76" t="s">
        <v>1791</v>
      </c>
      <c r="H57" s="1161"/>
      <c r="I57" s="1161"/>
      <c r="J57" s="825" t="s">
        <v>1805</v>
      </c>
      <c r="K57" s="826"/>
      <c r="M57" s="409" t="str">
        <f t="shared" si="0"/>
        <v>○</v>
      </c>
      <c r="N57" s="409" t="str">
        <f t="shared" si="1"/>
        <v>○</v>
      </c>
      <c r="P57" s="120"/>
      <c r="Q57" s="823"/>
    </row>
    <row r="58" spans="1:17">
      <c r="A58" s="425" t="s">
        <v>800</v>
      </c>
      <c r="B58" s="76" t="s">
        <v>1790</v>
      </c>
      <c r="C58" s="76" t="s">
        <v>1790</v>
      </c>
      <c r="D58" s="76" t="s">
        <v>1790</v>
      </c>
      <c r="E58" s="76" t="s">
        <v>829</v>
      </c>
      <c r="F58" s="76" t="s">
        <v>1790</v>
      </c>
      <c r="G58" s="76" t="s">
        <v>1791</v>
      </c>
      <c r="H58" s="1161"/>
      <c r="I58" s="1161"/>
      <c r="J58" s="825" t="s">
        <v>1805</v>
      </c>
      <c r="K58" s="826"/>
      <c r="M58" s="409" t="str">
        <f t="shared" si="0"/>
        <v>○</v>
      </c>
      <c r="N58" s="409" t="str">
        <f t="shared" si="1"/>
        <v>○</v>
      </c>
      <c r="P58" s="120"/>
      <c r="Q58" s="823"/>
    </row>
    <row r="59" spans="1:17">
      <c r="A59" s="425" t="s">
        <v>801</v>
      </c>
      <c r="B59" s="76" t="s">
        <v>1790</v>
      </c>
      <c r="C59" s="76" t="s">
        <v>1790</v>
      </c>
      <c r="D59" s="76" t="s">
        <v>1790</v>
      </c>
      <c r="E59" s="76" t="s">
        <v>829</v>
      </c>
      <c r="F59" s="76" t="s">
        <v>1790</v>
      </c>
      <c r="G59" s="76" t="s">
        <v>1791</v>
      </c>
      <c r="H59" s="1161"/>
      <c r="I59" s="1161"/>
      <c r="J59" s="825" t="s">
        <v>1805</v>
      </c>
      <c r="K59" s="826"/>
      <c r="M59" s="409" t="str">
        <f t="shared" si="0"/>
        <v>○</v>
      </c>
      <c r="N59" s="409" t="str">
        <f t="shared" si="1"/>
        <v>○</v>
      </c>
      <c r="P59" s="120"/>
      <c r="Q59" s="823"/>
    </row>
    <row r="60" spans="1:17">
      <c r="A60" s="425" t="s">
        <v>802</v>
      </c>
      <c r="B60" s="76" t="s">
        <v>1790</v>
      </c>
      <c r="C60" s="76" t="s">
        <v>1790</v>
      </c>
      <c r="D60" s="426"/>
      <c r="E60" s="76" t="s">
        <v>829</v>
      </c>
      <c r="F60" s="76" t="s">
        <v>1790</v>
      </c>
      <c r="G60" s="76" t="s">
        <v>1791</v>
      </c>
      <c r="H60" s="1161"/>
      <c r="I60" s="1161"/>
      <c r="J60" s="825" t="s">
        <v>1805</v>
      </c>
      <c r="K60" s="826"/>
      <c r="M60" s="427" t="str">
        <f>IF(OR(B60="",C60="",E60="",F60="",G60=""),"×","○")</f>
        <v>○</v>
      </c>
      <c r="N60" s="409" t="str">
        <f t="shared" si="1"/>
        <v>○</v>
      </c>
      <c r="P60" s="120"/>
      <c r="Q60" s="823"/>
    </row>
    <row r="61" spans="1:17">
      <c r="A61" s="428" t="s">
        <v>803</v>
      </c>
      <c r="B61" s="76" t="s">
        <v>1790</v>
      </c>
      <c r="C61" s="76" t="s">
        <v>1790</v>
      </c>
      <c r="D61" s="426"/>
      <c r="E61" s="76" t="s">
        <v>829</v>
      </c>
      <c r="F61" s="76" t="s">
        <v>1790</v>
      </c>
      <c r="G61" s="76" t="s">
        <v>1791</v>
      </c>
      <c r="H61" s="1161"/>
      <c r="I61" s="1161"/>
      <c r="J61" s="825" t="s">
        <v>1805</v>
      </c>
      <c r="K61" s="826"/>
      <c r="L61" s="429"/>
      <c r="M61" s="427" t="str">
        <f>IF(OR(B61="",C61="",E61="",F61="",G61=""),"×","○")</f>
        <v>○</v>
      </c>
      <c r="N61" s="409" t="str">
        <f t="shared" si="1"/>
        <v>○</v>
      </c>
      <c r="P61" s="120"/>
      <c r="Q61" s="823"/>
    </row>
    <row r="62" spans="1:17">
      <c r="A62" s="425" t="s">
        <v>804</v>
      </c>
      <c r="B62" s="76" t="s">
        <v>1790</v>
      </c>
      <c r="C62" s="76" t="s">
        <v>1790</v>
      </c>
      <c r="D62" s="76" t="s">
        <v>1790</v>
      </c>
      <c r="E62" s="76" t="s">
        <v>829</v>
      </c>
      <c r="F62" s="76" t="s">
        <v>1790</v>
      </c>
      <c r="G62" s="76" t="s">
        <v>1791</v>
      </c>
      <c r="H62" s="1161"/>
      <c r="I62" s="1161"/>
      <c r="J62" s="825" t="s">
        <v>1805</v>
      </c>
      <c r="K62" s="826"/>
      <c r="L62" s="429"/>
      <c r="M62" s="409" t="str">
        <f t="shared" si="0"/>
        <v>○</v>
      </c>
      <c r="N62" s="409" t="str">
        <f t="shared" si="1"/>
        <v>○</v>
      </c>
      <c r="P62" s="120"/>
      <c r="Q62" s="823"/>
    </row>
    <row r="63" spans="1:17">
      <c r="A63" s="425" t="s">
        <v>805</v>
      </c>
      <c r="B63" s="76" t="s">
        <v>1790</v>
      </c>
      <c r="C63" s="76" t="s">
        <v>1790</v>
      </c>
      <c r="D63" s="76" t="s">
        <v>1790</v>
      </c>
      <c r="E63" s="76" t="s">
        <v>1790</v>
      </c>
      <c r="F63" s="76" t="s">
        <v>1790</v>
      </c>
      <c r="G63" s="76" t="s">
        <v>1791</v>
      </c>
      <c r="H63" s="1161"/>
      <c r="I63" s="1161"/>
      <c r="J63" s="825" t="s">
        <v>1803</v>
      </c>
      <c r="K63" s="826"/>
      <c r="L63" s="429"/>
      <c r="M63" s="409" t="str">
        <f t="shared" si="0"/>
        <v>○</v>
      </c>
      <c r="N63" s="409" t="str">
        <f t="shared" si="1"/>
        <v>○</v>
      </c>
      <c r="P63" s="120"/>
      <c r="Q63" s="823"/>
    </row>
    <row r="64" spans="1:17">
      <c r="A64" s="425" t="s">
        <v>806</v>
      </c>
      <c r="B64" s="76" t="s">
        <v>1790</v>
      </c>
      <c r="C64" s="76" t="s">
        <v>1790</v>
      </c>
      <c r="D64" s="76" t="s">
        <v>1790</v>
      </c>
      <c r="E64" s="76" t="s">
        <v>1790</v>
      </c>
      <c r="F64" s="76" t="s">
        <v>1790</v>
      </c>
      <c r="G64" s="76" t="s">
        <v>1791</v>
      </c>
      <c r="H64" s="1161"/>
      <c r="I64" s="1161"/>
      <c r="J64" s="825" t="s">
        <v>1803</v>
      </c>
      <c r="K64" s="826"/>
      <c r="L64" s="429"/>
      <c r="M64" s="409" t="str">
        <f t="shared" si="0"/>
        <v>○</v>
      </c>
      <c r="N64" s="409" t="str">
        <f t="shared" si="1"/>
        <v>○</v>
      </c>
      <c r="P64" s="120"/>
      <c r="Q64" s="823"/>
    </row>
    <row r="65" spans="1:17">
      <c r="A65" s="425" t="s">
        <v>807</v>
      </c>
      <c r="B65" s="76" t="s">
        <v>1790</v>
      </c>
      <c r="C65" s="76" t="s">
        <v>1790</v>
      </c>
      <c r="D65" s="76" t="s">
        <v>1790</v>
      </c>
      <c r="E65" s="76" t="s">
        <v>1790</v>
      </c>
      <c r="F65" s="76" t="s">
        <v>1790</v>
      </c>
      <c r="G65" s="76" t="s">
        <v>1791</v>
      </c>
      <c r="H65" s="1161"/>
      <c r="I65" s="1161"/>
      <c r="J65" s="825" t="s">
        <v>1803</v>
      </c>
      <c r="K65" s="826"/>
      <c r="L65" s="429"/>
      <c r="M65" s="409" t="str">
        <f>IF(COUNTBLANK(B65:G65)=0,"○","×")</f>
        <v>○</v>
      </c>
      <c r="N65" s="409" t="str">
        <f t="shared" ref="N65" si="3">IF(AND(COUNTIF(B65:F65,"◎")&gt;=1,J65=""),"×","○")</f>
        <v>○</v>
      </c>
      <c r="P65" s="120"/>
      <c r="Q65" s="823"/>
    </row>
    <row r="66" spans="1:17">
      <c r="A66" s="425" t="s">
        <v>808</v>
      </c>
      <c r="B66" s="76" t="s">
        <v>1790</v>
      </c>
      <c r="C66" s="76" t="s">
        <v>1790</v>
      </c>
      <c r="D66" s="76" t="s">
        <v>1790</v>
      </c>
      <c r="E66" s="76" t="s">
        <v>1790</v>
      </c>
      <c r="F66" s="76" t="s">
        <v>1790</v>
      </c>
      <c r="G66" s="76" t="s">
        <v>1791</v>
      </c>
      <c r="H66" s="1161"/>
      <c r="I66" s="1161"/>
      <c r="J66" s="825" t="s">
        <v>1806</v>
      </c>
      <c r="K66" s="826"/>
      <c r="L66" s="429"/>
      <c r="M66" s="409" t="str">
        <f t="shared" si="0"/>
        <v>○</v>
      </c>
      <c r="N66" s="409" t="str">
        <f t="shared" si="1"/>
        <v>○</v>
      </c>
      <c r="P66" s="120"/>
      <c r="Q66" s="823"/>
    </row>
    <row r="67" spans="1:17">
      <c r="A67" s="425" t="s">
        <v>809</v>
      </c>
      <c r="B67" s="76" t="s">
        <v>1790</v>
      </c>
      <c r="C67" s="76" t="s">
        <v>1790</v>
      </c>
      <c r="D67" s="76" t="s">
        <v>1790</v>
      </c>
      <c r="E67" s="76" t="s">
        <v>1790</v>
      </c>
      <c r="F67" s="76" t="s">
        <v>1790</v>
      </c>
      <c r="G67" s="76" t="s">
        <v>1791</v>
      </c>
      <c r="H67" s="1161"/>
      <c r="I67" s="1161"/>
      <c r="J67" s="825" t="s">
        <v>1806</v>
      </c>
      <c r="K67" s="826"/>
      <c r="L67" s="429"/>
      <c r="M67" s="409" t="str">
        <f t="shared" si="0"/>
        <v>○</v>
      </c>
      <c r="N67" s="409" t="str">
        <f t="shared" si="1"/>
        <v>○</v>
      </c>
      <c r="P67" s="120"/>
      <c r="Q67" s="823"/>
    </row>
    <row r="68" spans="1:17">
      <c r="A68" s="425" t="s">
        <v>810</v>
      </c>
      <c r="B68" s="76" t="s">
        <v>829</v>
      </c>
      <c r="C68" s="426"/>
      <c r="D68" s="76" t="s">
        <v>1790</v>
      </c>
      <c r="E68" s="76" t="s">
        <v>1790</v>
      </c>
      <c r="F68" s="76" t="s">
        <v>1790</v>
      </c>
      <c r="G68" s="76" t="s">
        <v>1791</v>
      </c>
      <c r="H68" s="1161"/>
      <c r="I68" s="1161"/>
      <c r="J68" s="826" t="s">
        <v>1802</v>
      </c>
      <c r="K68" s="826"/>
      <c r="L68" s="429"/>
      <c r="M68" s="427" t="str">
        <f>IF(OR(B68="",D68="",E68="",F68="",G68=""),"×","○")</f>
        <v>○</v>
      </c>
      <c r="N68" s="409" t="str">
        <f t="shared" si="1"/>
        <v>○</v>
      </c>
      <c r="P68" s="120"/>
      <c r="Q68" s="823"/>
    </row>
    <row r="69" spans="1:17">
      <c r="A69" s="425" t="s">
        <v>811</v>
      </c>
      <c r="B69" s="76" t="s">
        <v>1790</v>
      </c>
      <c r="C69" s="426"/>
      <c r="D69" s="76" t="s">
        <v>1790</v>
      </c>
      <c r="E69" s="76" t="s">
        <v>1790</v>
      </c>
      <c r="F69" s="76" t="s">
        <v>1790</v>
      </c>
      <c r="G69" s="76" t="s">
        <v>1791</v>
      </c>
      <c r="H69" s="1161"/>
      <c r="I69" s="1161"/>
      <c r="J69" s="825" t="s">
        <v>1807</v>
      </c>
      <c r="K69" s="826"/>
      <c r="L69" s="429"/>
      <c r="M69" s="427" t="str">
        <f>IF(OR(B69="",D69="",E69="",F69="",G69=""),"×","○")</f>
        <v>○</v>
      </c>
      <c r="N69" s="409" t="str">
        <f t="shared" si="1"/>
        <v>○</v>
      </c>
      <c r="P69" s="120"/>
      <c r="Q69" s="823"/>
    </row>
    <row r="70" spans="1:17">
      <c r="A70" s="425" t="s">
        <v>812</v>
      </c>
      <c r="B70" s="76" t="s">
        <v>1790</v>
      </c>
      <c r="C70" s="426"/>
      <c r="D70" s="76" t="s">
        <v>1790</v>
      </c>
      <c r="E70" s="76" t="s">
        <v>1790</v>
      </c>
      <c r="F70" s="76" t="s">
        <v>1790</v>
      </c>
      <c r="G70" s="76" t="s">
        <v>1791</v>
      </c>
      <c r="H70" s="1161"/>
      <c r="I70" s="1161"/>
      <c r="J70" s="825" t="s">
        <v>1807</v>
      </c>
      <c r="K70" s="826"/>
      <c r="L70" s="429"/>
      <c r="M70" s="427" t="str">
        <f>IF(OR(B70="",D70="",E70="",F70="",G70=""),"×","○")</f>
        <v>○</v>
      </c>
      <c r="N70" s="409" t="str">
        <f t="shared" si="1"/>
        <v>○</v>
      </c>
      <c r="P70" s="120"/>
      <c r="Q70" s="823"/>
    </row>
    <row r="71" spans="1:17">
      <c r="A71" s="425" t="s">
        <v>813</v>
      </c>
      <c r="B71" s="76" t="s">
        <v>1790</v>
      </c>
      <c r="C71" s="426"/>
      <c r="D71" s="76" t="s">
        <v>1790</v>
      </c>
      <c r="E71" s="76" t="s">
        <v>1790</v>
      </c>
      <c r="F71" s="76" t="s">
        <v>1790</v>
      </c>
      <c r="G71" s="76" t="s">
        <v>1791</v>
      </c>
      <c r="H71" s="1161"/>
      <c r="I71" s="1161"/>
      <c r="J71" s="825" t="s">
        <v>1807</v>
      </c>
      <c r="K71" s="826"/>
      <c r="L71" s="429"/>
      <c r="M71" s="427" t="str">
        <f>IF(OR(B71="",D71="",E71="",F71="",G71=""),"×","○")</f>
        <v>○</v>
      </c>
      <c r="N71" s="409" t="str">
        <f t="shared" si="1"/>
        <v>○</v>
      </c>
      <c r="P71" s="120"/>
      <c r="Q71" s="823"/>
    </row>
    <row r="72" spans="1:17">
      <c r="A72" s="425" t="s">
        <v>814</v>
      </c>
      <c r="B72" s="76" t="s">
        <v>829</v>
      </c>
      <c r="C72" s="76" t="s">
        <v>829</v>
      </c>
      <c r="D72" s="76" t="s">
        <v>1790</v>
      </c>
      <c r="E72" s="76" t="s">
        <v>829</v>
      </c>
      <c r="F72" s="76" t="s">
        <v>829</v>
      </c>
      <c r="G72" s="76" t="s">
        <v>1791</v>
      </c>
      <c r="H72" s="1162"/>
      <c r="I72" s="1162"/>
      <c r="J72" s="825" t="s">
        <v>1808</v>
      </c>
      <c r="K72" s="826"/>
      <c r="L72" s="430"/>
      <c r="M72" s="409" t="str">
        <f t="shared" si="0"/>
        <v>○</v>
      </c>
      <c r="N72" s="409" t="str">
        <f t="shared" si="1"/>
        <v>○</v>
      </c>
      <c r="P72" s="120"/>
      <c r="Q72" s="823"/>
    </row>
    <row r="73" spans="1:17">
      <c r="A73" s="420"/>
      <c r="B73" s="1286" t="s">
        <v>815</v>
      </c>
      <c r="C73" s="1287"/>
      <c r="D73" s="1287"/>
      <c r="E73" s="1287"/>
      <c r="F73" s="1288"/>
      <c r="G73" s="1284" t="s">
        <v>816</v>
      </c>
      <c r="H73" s="1301" t="s">
        <v>741</v>
      </c>
      <c r="I73" s="1302"/>
      <c r="J73" s="1301" t="s">
        <v>742</v>
      </c>
      <c r="K73" s="421" t="s">
        <v>743</v>
      </c>
      <c r="P73" s="120"/>
      <c r="Q73" s="823"/>
    </row>
    <row r="74" spans="1:17" ht="13.5" customHeight="1">
      <c r="A74" s="1282" t="s">
        <v>817</v>
      </c>
      <c r="B74" s="1284" t="s">
        <v>745</v>
      </c>
      <c r="C74" s="1286" t="s">
        <v>746</v>
      </c>
      <c r="D74" s="1287"/>
      <c r="E74" s="1288"/>
      <c r="F74" s="1284" t="s">
        <v>747</v>
      </c>
      <c r="G74" s="1303"/>
      <c r="H74" s="1282" t="s">
        <v>1643</v>
      </c>
      <c r="I74" s="1282" t="s">
        <v>1681</v>
      </c>
      <c r="J74" s="1285"/>
      <c r="K74" s="422"/>
      <c r="P74" s="120"/>
      <c r="Q74" s="823"/>
    </row>
    <row r="75" spans="1:17" ht="57.75" customHeight="1">
      <c r="A75" s="1283"/>
      <c r="B75" s="1285"/>
      <c r="C75" s="423" t="s">
        <v>748</v>
      </c>
      <c r="D75" s="423" t="s">
        <v>749</v>
      </c>
      <c r="E75" s="423" t="s">
        <v>750</v>
      </c>
      <c r="F75" s="1285"/>
      <c r="G75" s="1285"/>
      <c r="H75" s="1283"/>
      <c r="I75" s="1283"/>
      <c r="J75" s="1283"/>
      <c r="K75" s="424" t="s">
        <v>751</v>
      </c>
      <c r="P75" s="120"/>
      <c r="Q75" s="823"/>
    </row>
    <row r="76" spans="1:17">
      <c r="A76" s="431" t="s">
        <v>818</v>
      </c>
      <c r="B76" s="76" t="s">
        <v>1790</v>
      </c>
      <c r="C76" s="76" t="s">
        <v>1790</v>
      </c>
      <c r="D76" s="76" t="s">
        <v>1790</v>
      </c>
      <c r="E76" s="76" t="s">
        <v>1790</v>
      </c>
      <c r="F76" s="76" t="s">
        <v>1790</v>
      </c>
      <c r="G76" s="76" t="s">
        <v>1791</v>
      </c>
      <c r="H76" s="426"/>
      <c r="I76" s="426"/>
      <c r="J76" s="825" t="s">
        <v>1792</v>
      </c>
      <c r="K76" s="826"/>
      <c r="L76" s="429"/>
      <c r="M76" s="409" t="str">
        <f t="shared" si="0"/>
        <v>○</v>
      </c>
      <c r="N76" s="409" t="str">
        <f t="shared" si="1"/>
        <v>○</v>
      </c>
      <c r="P76" s="120"/>
      <c r="Q76" s="823"/>
    </row>
    <row r="77" spans="1:17">
      <c r="A77" s="431" t="s">
        <v>819</v>
      </c>
      <c r="B77" s="76" t="s">
        <v>1790</v>
      </c>
      <c r="C77" s="76" t="s">
        <v>1790</v>
      </c>
      <c r="D77" s="76" t="s">
        <v>1790</v>
      </c>
      <c r="E77" s="76" t="s">
        <v>1790</v>
      </c>
      <c r="F77" s="76" t="s">
        <v>1790</v>
      </c>
      <c r="G77" s="76" t="s">
        <v>1791</v>
      </c>
      <c r="H77" s="426"/>
      <c r="I77" s="426"/>
      <c r="J77" s="825" t="s">
        <v>1792</v>
      </c>
      <c r="K77" s="826"/>
      <c r="L77" s="429"/>
      <c r="M77" s="409" t="str">
        <f t="shared" si="0"/>
        <v>○</v>
      </c>
      <c r="N77" s="409" t="str">
        <f t="shared" si="1"/>
        <v>○</v>
      </c>
      <c r="P77" s="120"/>
      <c r="Q77" s="823"/>
    </row>
    <row r="78" spans="1:17">
      <c r="A78" s="431" t="s">
        <v>820</v>
      </c>
      <c r="B78" s="76" t="s">
        <v>1790</v>
      </c>
      <c r="C78" s="76" t="s">
        <v>1790</v>
      </c>
      <c r="D78" s="76" t="s">
        <v>1790</v>
      </c>
      <c r="E78" s="76" t="s">
        <v>1790</v>
      </c>
      <c r="F78" s="76" t="s">
        <v>1790</v>
      </c>
      <c r="G78" s="76" t="s">
        <v>1791</v>
      </c>
      <c r="H78" s="426"/>
      <c r="I78" s="426"/>
      <c r="J78" s="825" t="s">
        <v>1792</v>
      </c>
      <c r="K78" s="826"/>
      <c r="L78" s="429"/>
      <c r="M78" s="409" t="str">
        <f t="shared" si="0"/>
        <v>○</v>
      </c>
      <c r="N78" s="409" t="str">
        <f t="shared" si="1"/>
        <v>○</v>
      </c>
      <c r="P78" s="120"/>
      <c r="Q78" s="823"/>
    </row>
    <row r="79" spans="1:17">
      <c r="A79" s="431" t="s">
        <v>821</v>
      </c>
      <c r="B79" s="76" t="s">
        <v>1790</v>
      </c>
      <c r="C79" s="426"/>
      <c r="D79" s="76" t="s">
        <v>1790</v>
      </c>
      <c r="E79" s="76" t="s">
        <v>1790</v>
      </c>
      <c r="F79" s="76" t="s">
        <v>1790</v>
      </c>
      <c r="G79" s="76" t="s">
        <v>1791</v>
      </c>
      <c r="H79" s="426"/>
      <c r="I79" s="426"/>
      <c r="J79" s="825" t="s">
        <v>1792</v>
      </c>
      <c r="K79" s="826"/>
      <c r="M79" s="427" t="str">
        <f>IF(OR(B79="",D79="",E79="",F79="",G79=""),"×","○")</f>
        <v>○</v>
      </c>
      <c r="N79" s="409" t="str">
        <f t="shared" si="1"/>
        <v>○</v>
      </c>
      <c r="P79" s="120"/>
      <c r="Q79" s="823"/>
    </row>
    <row r="80" spans="1:17">
      <c r="A80" s="431" t="s">
        <v>822</v>
      </c>
      <c r="B80" s="76" t="s">
        <v>1790</v>
      </c>
      <c r="C80" s="76" t="s">
        <v>1790</v>
      </c>
      <c r="D80" s="76" t="s">
        <v>1790</v>
      </c>
      <c r="E80" s="76" t="s">
        <v>1790</v>
      </c>
      <c r="F80" s="76" t="s">
        <v>1790</v>
      </c>
      <c r="G80" s="76" t="s">
        <v>1791</v>
      </c>
      <c r="H80" s="426"/>
      <c r="I80" s="426"/>
      <c r="J80" s="825" t="s">
        <v>1792</v>
      </c>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3" zoomScale="87" zoomScaleNormal="100" zoomScaleSheetLayoutView="100" workbookViewId="0">
      <selection activeCell="Q17" sqref="Q17"/>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9" t="s">
        <v>1597</v>
      </c>
      <c r="B1" s="1319"/>
      <c r="C1" s="1319"/>
      <c r="D1" s="1319"/>
      <c r="E1" s="1319"/>
      <c r="F1" s="1319"/>
      <c r="G1" s="1319"/>
      <c r="H1" s="1319"/>
      <c r="I1" s="1319"/>
      <c r="J1" s="1319"/>
      <c r="K1" s="1319"/>
      <c r="P1" s="83"/>
      <c r="Q1" s="85"/>
    </row>
    <row r="2" spans="1:17" ht="24.95" customHeight="1" thickTop="1" thickBot="1">
      <c r="A2" s="408"/>
      <c r="B2" s="1272" t="s">
        <v>730</v>
      </c>
      <c r="C2" s="1272"/>
      <c r="D2" s="1272"/>
      <c r="E2" s="1272"/>
      <c r="F2" s="1272"/>
      <c r="G2" s="1272"/>
      <c r="H2" s="1272"/>
      <c r="I2" s="1272"/>
      <c r="J2" s="1292"/>
      <c r="K2" s="388" t="str">
        <f>IF(COUNTIF(N12:O16,"×")=0,"入力済","未入力あり")</f>
        <v>入力済</v>
      </c>
      <c r="L2" s="1320"/>
      <c r="M2" s="432"/>
      <c r="N2" s="432"/>
      <c r="O2" s="432"/>
      <c r="P2" s="83"/>
      <c r="Q2" s="85"/>
    </row>
    <row r="3" spans="1:17" ht="5.0999999999999996" customHeight="1" thickTop="1">
      <c r="A3" s="410"/>
      <c r="B3" s="410"/>
      <c r="C3" s="410"/>
      <c r="D3" s="410"/>
      <c r="E3" s="410"/>
      <c r="F3" s="410"/>
      <c r="G3" s="410"/>
      <c r="H3" s="410"/>
      <c r="I3" s="410"/>
      <c r="J3" s="410"/>
      <c r="K3" s="410"/>
      <c r="L3" s="1320"/>
      <c r="M3" s="432"/>
      <c r="N3" s="432"/>
      <c r="O3" s="432"/>
    </row>
    <row r="4" spans="1:17" ht="20.100000000000001" customHeight="1">
      <c r="A4" s="410"/>
      <c r="B4" s="410"/>
      <c r="C4" s="410"/>
      <c r="D4" s="410"/>
      <c r="E4" s="410"/>
      <c r="F4" s="413" t="s">
        <v>731</v>
      </c>
      <c r="G4" s="1293" t="str">
        <f>表紙!E2</f>
        <v>医療法人徳洲会　松原徳洲会病院</v>
      </c>
      <c r="H4" s="1294"/>
      <c r="I4" s="1294"/>
      <c r="J4" s="1294"/>
      <c r="K4" s="1295"/>
      <c r="L4" s="1320"/>
      <c r="M4" s="432"/>
      <c r="N4" s="432"/>
      <c r="O4" s="432"/>
      <c r="P4" s="83"/>
    </row>
    <row r="5" spans="1:17" ht="19.5" customHeight="1">
      <c r="A5" s="410"/>
      <c r="B5" s="413"/>
      <c r="C5" s="413"/>
      <c r="D5" s="413"/>
      <c r="E5" s="1094"/>
      <c r="F5" s="1094" t="s">
        <v>1598</v>
      </c>
      <c r="G5" s="1095" t="str">
        <f>別紙1未充足要件!E5</f>
        <v>令和７年９月１日時点</v>
      </c>
      <c r="J5" s="414"/>
      <c r="K5" s="414"/>
      <c r="L5" s="1320"/>
      <c r="M5" s="432"/>
      <c r="N5" s="432"/>
      <c r="O5" s="432"/>
      <c r="P5" s="415"/>
      <c r="Q5" s="139" t="s">
        <v>204</v>
      </c>
    </row>
    <row r="6" spans="1:17" s="436" customFormat="1" ht="28.9" customHeight="1">
      <c r="A6" s="433"/>
      <c r="B6" s="434"/>
      <c r="C6" s="434"/>
      <c r="D6" s="434"/>
      <c r="E6" s="434"/>
      <c r="F6" s="434"/>
      <c r="G6" s="434"/>
      <c r="H6" s="434"/>
      <c r="I6" s="434"/>
      <c r="J6" s="434"/>
      <c r="K6" s="434"/>
      <c r="L6" s="1320"/>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21" t="s">
        <v>1402</v>
      </c>
      <c r="B9" s="1307" t="s">
        <v>823</v>
      </c>
      <c r="C9" s="1308"/>
      <c r="D9" s="1308"/>
      <c r="E9" s="1309" t="s">
        <v>824</v>
      </c>
      <c r="F9" s="1310"/>
      <c r="G9" s="1310"/>
      <c r="H9" s="1310"/>
      <c r="I9" s="1310"/>
      <c r="J9" s="1310"/>
      <c r="K9" s="1310"/>
      <c r="L9" s="1311"/>
      <c r="M9" s="441"/>
      <c r="N9" s="442"/>
      <c r="O9" s="442"/>
      <c r="P9" s="51"/>
      <c r="Q9" s="116"/>
    </row>
    <row r="10" spans="1:17" s="8" customFormat="1" ht="22.5" customHeight="1">
      <c r="A10" s="1322"/>
      <c r="B10" s="1092" t="s">
        <v>825</v>
      </c>
      <c r="C10" s="1092" t="s">
        <v>826</v>
      </c>
      <c r="D10" s="1092" t="s">
        <v>827</v>
      </c>
      <c r="E10" s="1312"/>
      <c r="F10" s="1313"/>
      <c r="G10" s="1313"/>
      <c r="H10" s="1313"/>
      <c r="I10" s="1313"/>
      <c r="J10" s="1313"/>
      <c r="K10" s="1313"/>
      <c r="L10" s="1314"/>
      <c r="M10" s="441"/>
      <c r="N10" s="442"/>
      <c r="O10" s="442"/>
      <c r="P10" s="51"/>
      <c r="Q10" s="74"/>
    </row>
    <row r="11" spans="1:17" s="8" customFormat="1" ht="42" customHeight="1" thickBot="1">
      <c r="A11" s="1093" t="s">
        <v>1596</v>
      </c>
      <c r="B11" s="444" t="s">
        <v>828</v>
      </c>
      <c r="C11" s="444" t="s">
        <v>829</v>
      </c>
      <c r="D11" s="444" t="s">
        <v>828</v>
      </c>
      <c r="E11" s="1318" t="s">
        <v>1668</v>
      </c>
      <c r="F11" s="1318"/>
      <c r="G11" s="1318"/>
      <c r="H11" s="1318"/>
      <c r="I11" s="1318"/>
      <c r="J11" s="1318"/>
      <c r="K11" s="1318"/>
      <c r="L11" s="1318"/>
      <c r="M11" s="445"/>
      <c r="N11" s="446"/>
      <c r="O11" s="446"/>
      <c r="P11" s="51"/>
      <c r="Q11" s="74"/>
    </row>
    <row r="12" spans="1:17" s="8" customFormat="1" ht="42" customHeight="1" thickTop="1" thickBot="1">
      <c r="A12" s="447" t="s">
        <v>1346</v>
      </c>
      <c r="B12" s="64" t="s">
        <v>828</v>
      </c>
      <c r="C12" s="64" t="s">
        <v>829</v>
      </c>
      <c r="D12" s="64" t="s">
        <v>828</v>
      </c>
      <c r="E12" s="1304" t="s">
        <v>1809</v>
      </c>
      <c r="F12" s="1305"/>
      <c r="G12" s="1305"/>
      <c r="H12" s="1305"/>
      <c r="I12" s="1305"/>
      <c r="J12" s="1305"/>
      <c r="K12" s="1305"/>
      <c r="L12" s="1306"/>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828</v>
      </c>
      <c r="E13" s="1315" t="s">
        <v>1810</v>
      </c>
      <c r="F13" s="1316"/>
      <c r="G13" s="1316"/>
      <c r="H13" s="1316"/>
      <c r="I13" s="1316"/>
      <c r="J13" s="1316"/>
      <c r="K13" s="1316"/>
      <c r="L13" s="1317"/>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828</v>
      </c>
      <c r="E14" s="1315" t="s">
        <v>1810</v>
      </c>
      <c r="F14" s="1316"/>
      <c r="G14" s="1316"/>
      <c r="H14" s="1316"/>
      <c r="I14" s="1316"/>
      <c r="J14" s="1316"/>
      <c r="K14" s="1316"/>
      <c r="L14" s="1317"/>
      <c r="M14" s="445"/>
      <c r="N14" s="448" t="str">
        <f t="shared" si="0"/>
        <v>○</v>
      </c>
      <c r="O14" s="448" t="str">
        <f t="shared" si="1"/>
        <v>○</v>
      </c>
      <c r="P14" s="51"/>
      <c r="Q14" s="74"/>
    </row>
    <row r="15" spans="1:17" s="8" customFormat="1" ht="42" customHeight="1" thickBot="1">
      <c r="A15" s="451" t="s">
        <v>1347</v>
      </c>
      <c r="B15" s="55" t="s">
        <v>829</v>
      </c>
      <c r="C15" s="55" t="s">
        <v>829</v>
      </c>
      <c r="D15" s="55" t="s">
        <v>828</v>
      </c>
      <c r="E15" s="1315" t="s">
        <v>1810</v>
      </c>
      <c r="F15" s="1316"/>
      <c r="G15" s="1316"/>
      <c r="H15" s="1316"/>
      <c r="I15" s="1316"/>
      <c r="J15" s="1316"/>
      <c r="K15" s="1316"/>
      <c r="L15" s="1317"/>
      <c r="M15" s="445"/>
      <c r="N15" s="448" t="str">
        <f t="shared" si="0"/>
        <v>○</v>
      </c>
      <c r="O15" s="448" t="str">
        <f t="shared" si="1"/>
        <v>○</v>
      </c>
      <c r="P15" s="51"/>
      <c r="Q15" s="74"/>
    </row>
    <row r="16" spans="1:17" s="8" customFormat="1" ht="42" customHeight="1" thickBot="1">
      <c r="A16" s="451" t="s">
        <v>1349</v>
      </c>
      <c r="B16" s="55" t="s">
        <v>829</v>
      </c>
      <c r="C16" s="55" t="s">
        <v>829</v>
      </c>
      <c r="D16" s="55" t="s">
        <v>828</v>
      </c>
      <c r="E16" s="1315" t="s">
        <v>1810</v>
      </c>
      <c r="F16" s="1316"/>
      <c r="G16" s="1316"/>
      <c r="H16" s="1316"/>
      <c r="I16" s="1316"/>
      <c r="J16" s="1316"/>
      <c r="K16" s="1316"/>
      <c r="L16" s="1317"/>
      <c r="M16" s="445"/>
      <c r="N16" s="448" t="str">
        <f t="shared" si="0"/>
        <v>○</v>
      </c>
      <c r="O16" s="448" t="str">
        <f t="shared" si="1"/>
        <v>○</v>
      </c>
      <c r="P16" s="51"/>
      <c r="Q16" s="74"/>
    </row>
    <row r="17" spans="1:17" s="8" customFormat="1" ht="42" customHeight="1" thickBot="1">
      <c r="A17" s="451" t="s">
        <v>1345</v>
      </c>
      <c r="B17" s="55" t="s">
        <v>829</v>
      </c>
      <c r="C17" s="55" t="s">
        <v>829</v>
      </c>
      <c r="D17" s="55" t="s">
        <v>828</v>
      </c>
      <c r="E17" s="1315" t="s">
        <v>1810</v>
      </c>
      <c r="F17" s="1316"/>
      <c r="G17" s="1316"/>
      <c r="H17" s="1316"/>
      <c r="I17" s="1316"/>
      <c r="J17" s="1316"/>
      <c r="K17" s="1316"/>
      <c r="L17" s="1317"/>
      <c r="M17" s="445"/>
      <c r="N17" s="448" t="str">
        <f t="shared" si="0"/>
        <v>○</v>
      </c>
      <c r="O17" s="448" t="str">
        <f t="shared" si="1"/>
        <v>○</v>
      </c>
      <c r="P17" s="51"/>
      <c r="Q17" s="74"/>
    </row>
    <row r="18" spans="1:17" s="8" customFormat="1" ht="42" customHeight="1" thickBot="1">
      <c r="A18" s="451" t="s">
        <v>830</v>
      </c>
      <c r="B18" s="55" t="s">
        <v>829</v>
      </c>
      <c r="C18" s="55" t="s">
        <v>829</v>
      </c>
      <c r="D18" s="55" t="s">
        <v>828</v>
      </c>
      <c r="E18" s="1315" t="s">
        <v>1810</v>
      </c>
      <c r="F18" s="1316"/>
      <c r="G18" s="1316"/>
      <c r="H18" s="1316"/>
      <c r="I18" s="1316"/>
      <c r="J18" s="1316"/>
      <c r="K18" s="1316"/>
      <c r="L18" s="1317"/>
      <c r="M18" s="445"/>
      <c r="N18" s="448" t="str">
        <f t="shared" si="0"/>
        <v>○</v>
      </c>
      <c r="O18" s="448" t="str">
        <f t="shared" si="1"/>
        <v>○</v>
      </c>
      <c r="P18" s="51"/>
      <c r="Q18" s="74"/>
    </row>
    <row r="19" spans="1:17" s="8" customFormat="1" ht="42" customHeight="1" thickBot="1">
      <c r="A19" s="451" t="s">
        <v>49</v>
      </c>
      <c r="B19" s="55" t="s">
        <v>829</v>
      </c>
      <c r="C19" s="55" t="s">
        <v>829</v>
      </c>
      <c r="D19" s="55" t="s">
        <v>828</v>
      </c>
      <c r="E19" s="1315" t="s">
        <v>1810</v>
      </c>
      <c r="F19" s="1316"/>
      <c r="G19" s="1316"/>
      <c r="H19" s="1316"/>
      <c r="I19" s="1316"/>
      <c r="J19" s="1316"/>
      <c r="K19" s="1316"/>
      <c r="L19" s="1317"/>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9" t="s">
        <v>831</v>
      </c>
      <c r="B1" s="1270"/>
      <c r="C1" s="1270"/>
      <c r="D1" s="1270"/>
      <c r="E1" s="1270"/>
      <c r="F1" s="1270"/>
      <c r="G1" s="1270"/>
      <c r="I1" s="53"/>
      <c r="J1" s="53"/>
      <c r="K1" s="122"/>
    </row>
    <row r="2" spans="1:11" ht="24.95" customHeight="1" thickTop="1" thickBot="1">
      <c r="A2" s="1272" t="s">
        <v>832</v>
      </c>
      <c r="B2" s="1272"/>
      <c r="C2" s="1272"/>
      <c r="D2" s="1272"/>
      <c r="E2" s="1272"/>
      <c r="F2" s="1272"/>
      <c r="G2" s="388" t="str">
        <f>IF(COUNTIF(I9,"×")=0,"入力済","未入力あり")</f>
        <v>入力済</v>
      </c>
      <c r="H2" s="1278"/>
      <c r="I2" s="53"/>
      <c r="J2" s="53"/>
      <c r="K2" s="293"/>
    </row>
    <row r="3" spans="1:11" ht="5.0999999999999996" customHeight="1" thickTop="1">
      <c r="H3" s="1278"/>
      <c r="I3" s="452"/>
      <c r="J3" s="452"/>
      <c r="K3" s="453"/>
    </row>
    <row r="4" spans="1:11" ht="20.100000000000001" customHeight="1">
      <c r="E4" s="454" t="s">
        <v>725</v>
      </c>
      <c r="F4" s="1273" t="str">
        <f>表紙!E2</f>
        <v>医療法人徳洲会　松原徳洲会病院</v>
      </c>
      <c r="G4" s="1274"/>
      <c r="H4" s="1278"/>
      <c r="I4" s="452"/>
      <c r="J4" s="452"/>
      <c r="K4" s="455" t="s">
        <v>204</v>
      </c>
    </row>
    <row r="5" spans="1:11" ht="20.100000000000001" customHeight="1">
      <c r="E5" s="1096" t="s">
        <v>878</v>
      </c>
      <c r="F5" s="414" t="str">
        <f>別紙1未充足要件!E5</f>
        <v>令和７年９月１日時点</v>
      </c>
      <c r="G5"/>
      <c r="K5" s="1202" t="s">
        <v>1811</v>
      </c>
    </row>
    <row r="6" spans="1:11" ht="38.25" customHeight="1">
      <c r="A6" s="1332" t="s">
        <v>1599</v>
      </c>
      <c r="B6" s="1332"/>
      <c r="C6" s="1332"/>
      <c r="D6" s="1332"/>
      <c r="E6" s="1332"/>
      <c r="F6" s="1332"/>
      <c r="G6" s="1332"/>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3" t="s">
        <v>1811</v>
      </c>
      <c r="B9" s="1324"/>
      <c r="C9" s="1324"/>
      <c r="D9" s="1324"/>
      <c r="E9" s="1324"/>
      <c r="F9" s="1324"/>
      <c r="G9" s="1325"/>
      <c r="I9" s="8" t="str">
        <f>IF(A9&lt;&gt;"","○","×")</f>
        <v>○</v>
      </c>
      <c r="J9" s="8"/>
      <c r="K9" s="123"/>
    </row>
    <row r="10" spans="1:11">
      <c r="A10" s="1326"/>
      <c r="B10" s="1327"/>
      <c r="C10" s="1327"/>
      <c r="D10" s="1327"/>
      <c r="E10" s="1327"/>
      <c r="F10" s="1327"/>
      <c r="G10" s="1328"/>
      <c r="K10" s="123"/>
    </row>
    <row r="11" spans="1:11">
      <c r="A11" s="1326"/>
      <c r="B11" s="1327"/>
      <c r="C11" s="1327"/>
      <c r="D11" s="1327"/>
      <c r="E11" s="1327"/>
      <c r="F11" s="1327"/>
      <c r="G11" s="1328"/>
      <c r="K11" s="123"/>
    </row>
    <row r="12" spans="1:11">
      <c r="A12" s="1326"/>
      <c r="B12" s="1327"/>
      <c r="C12" s="1327"/>
      <c r="D12" s="1327"/>
      <c r="E12" s="1327"/>
      <c r="F12" s="1327"/>
      <c r="G12" s="1328"/>
      <c r="K12" s="123"/>
    </row>
    <row r="13" spans="1:11">
      <c r="A13" s="1326"/>
      <c r="B13" s="1327"/>
      <c r="C13" s="1327"/>
      <c r="D13" s="1327"/>
      <c r="E13" s="1327"/>
      <c r="F13" s="1327"/>
      <c r="G13" s="1328"/>
      <c r="K13" s="123"/>
    </row>
    <row r="14" spans="1:11">
      <c r="A14" s="1326"/>
      <c r="B14" s="1327"/>
      <c r="C14" s="1327"/>
      <c r="D14" s="1327"/>
      <c r="E14" s="1327"/>
      <c r="F14" s="1327"/>
      <c r="G14" s="1328"/>
      <c r="K14" s="123"/>
    </row>
    <row r="15" spans="1:11">
      <c r="A15" s="1326"/>
      <c r="B15" s="1327"/>
      <c r="C15" s="1327"/>
      <c r="D15" s="1327"/>
      <c r="E15" s="1327"/>
      <c r="F15" s="1327"/>
      <c r="G15" s="1328"/>
      <c r="K15" s="123"/>
    </row>
    <row r="16" spans="1:11">
      <c r="A16" s="1326"/>
      <c r="B16" s="1327"/>
      <c r="C16" s="1327"/>
      <c r="D16" s="1327"/>
      <c r="E16" s="1327"/>
      <c r="F16" s="1327"/>
      <c r="G16" s="1328"/>
      <c r="K16" s="123"/>
    </row>
    <row r="17" spans="1:11" ht="14.25" thickBot="1">
      <c r="A17" s="1329"/>
      <c r="B17" s="1330"/>
      <c r="C17" s="1330"/>
      <c r="D17" s="1330"/>
      <c r="E17" s="1330"/>
      <c r="F17" s="1330"/>
      <c r="G17" s="1331"/>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2025-11-25T04:10:46Z</cp:lastPrinted>
  <dcterms:created xsi:type="dcterms:W3CDTF">2016-08-30T05:01:01Z</dcterms:created>
  <dcterms:modified xsi:type="dcterms:W3CDTF">2026-03-19T05:46:00Z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