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6_堺市\"/>
    </mc:Choice>
  </mc:AlternateContent>
  <xr:revisionPtr revIDLastSave="0" documentId="13_ncr:1_{6427187B-469C-4AAA-9018-0511F7BB6773}"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別紙6緩和病棟!$A$1:$AA$40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K20" i="215"/>
  <c r="I2" i="215" s="1"/>
  <c r="B34" i="2" s="1"/>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F2" i="168"/>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<sst xmlns="http://schemas.openxmlformats.org/spreadsheetml/2006/main" count="3884" uniqueCount="1904">
  <si>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</si>
  <si>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</si>
  <si>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</si>
  <si>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</si>
  <si>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</si>
  <si>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</si>
  <si>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</si>
  <si>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</si>
  <si>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</si>
  <si>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</si>
  <si>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</si>
  <si>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</si>
  <si>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</si>
  <si>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</si>
  <si>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</si>
  <si>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</si>
  <si>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</si>
  <si>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</si>
  <si>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</si>
  <si>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</si>
  <si>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</si>
  <si>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</si>
  <si>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</si>
  <si>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</si>
  <si>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</si>
  <si>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</si>
  <si>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</si>
  <si>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</si>
  <si>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</si>
  <si>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</si>
  <si>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</si>
  <si>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</si>
  <si>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</si>
  <si>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</si>
  <si>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</si>
  <si>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</si>
  <si>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</si>
  <si>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</si>
  <si>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</si>
  <si>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</si>
  <si>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</si>
  <si>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</si>
  <si>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</si>
  <si>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</si>
  <si>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</si>
  <si>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</si>
  <si>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</si>
  <si>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</si>
  <si>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</si>
  <si>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</si>
  <si>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</si>
  <si>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</si>
  <si>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</si>
  <si>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</si>
  <si>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</si>
  <si>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</si>
  <si>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</si>
  <si>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</si>
  <si>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</si>
  <si>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</si>
  <si>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</si>
  <si>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</si>
  <si>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</si>
  <si>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</si>
  <si>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</si>
  <si>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</si>
  <si>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</si>
  <si>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</si>
  <si>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</si>
  <si>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</si>
  <si>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</si>
  <si>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</si>
  <si>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</si>
  <si>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</si>
  <si>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</si>
  <si>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</si>
  <si>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</si>
  <si>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</si>
  <si>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</si>
  <si>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</si>
  <si>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</si>
  <si>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</si>
  <si>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</si>
  <si>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</si>
  <si>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</si>
  <si>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</si>
  <si>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</si>
  <si>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</si>
  <si>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</si>
  <si>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</si>
  <si>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</si>
  <si>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</si>
  <si>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</si>
  <si>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</si>
  <si>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</si>
  <si>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</si>
  <si>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</si>
  <si>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</si>
  <si>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</si>
  <si>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</si>
  <si>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</si>
  <si>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</si>
  <si>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</si>
  <si>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</si>
  <si>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</si>
  <si>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</si>
  <si>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</si>
  <si>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</si>
  <si>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</si>
  <si>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</si>
  <si>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</si>
  <si>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</si>
  <si>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</si>
  <si>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</si>
  <si>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</si>
  <si>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</si>
  <si>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</si>
  <si>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</si>
  <si>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</si>
  <si>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</si>
  <si>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</si>
  <si>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</si>
  <si>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</si>
  <si>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</si>
  <si>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</si>
  <si>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</si>
  <si>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</si>
  <si>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</si>
  <si>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</si>
  <si>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</si>
  <si>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</si>
  <si>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</si>
  <si>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</si>
  <si>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</si>
  <si>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</si>
  <si>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</si>
  <si>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</si>
  <si>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</si>
  <si>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</si>
  <si>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</si>
  <si>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</si>
  <si>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</si>
  <si>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</si>
  <si>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</si>
  <si>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</si>
  <si>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</si>
  <si>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</si>
  <si>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</si>
  <si>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</si>
  <si>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</si>
  <si>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</si>
  <si>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</si>
  <si>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</si>
  <si>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</si>
  <si>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</si>
  <si>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</si>
  <si>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</si>
  <si>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</si>
  <si>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</si>
  <si>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</si>
  <si>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</si>
  <si>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</si>
  <si>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</si>
  <si>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</si>
  <si>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</si>
  <si>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</si>
  <si>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</si>
  <si>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</si>
  <si>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</si>
  <si>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</si>
  <si>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</si>
  <si>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</si>
  <si>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</si>
  <si>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</si>
  <si>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</si>
  <si>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</si>
  <si>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</si>
  <si>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</si>
  <si>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</si>
  <si>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</si>
  <si>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</si>
  <si>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</si>
  <si>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</si>
  <si>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</si>
  <si>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</si>
  <si>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</si>
  <si>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</si>
  <si>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</si>
  <si>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</si>
  <si>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</si>
  <si>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</si>
  <si>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</si>
  <si>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</si>
  <si>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</si>
  <si>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</si>
  <si>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</si>
  <si>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</si>
  <si>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</si>
  <si>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</si>
  <si>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</si>
  <si>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</si>
  <si>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</si>
  <si>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</si>
  <si>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</si>
  <si>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</si>
  <si>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</si>
  <si>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</si>
  <si>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</si>
  <si>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</si>
  <si>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</si>
  <si>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</si>
  <si>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</si>
  <si>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</si>
  <si>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</si>
  <si>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</si>
  <si>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</si>
  <si>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</si>
  <si>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</si>
  <si>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</si>
  <si>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</si>
  <si>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</si>
  <si>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</si>
  <si>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</si>
  <si>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</si>
  <si>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</si>
  <si>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</si>
  <si>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</si>
  <si>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</si>
  <si>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</si>
  <si>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</si>
  <si>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</si>
  <si>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</si>
  <si>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</si>
  <si>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</si>
  <si>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</si>
  <si>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</si>
  <si>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</si>
  <si>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</si>
  <si>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</si>
  <si>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</si>
  <si>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</si>
  <si>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</si>
  <si>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</si>
  <si>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</si>
  <si>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</si>
  <si>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</si>
  <si>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</si>
  <si>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</si>
  <si>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</si>
  <si>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</si>
  <si>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</si>
  <si>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</si>
  <si>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</si>
  <si>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</si>
  <si>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</si>
  <si>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</si>
  <si>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</si>
  <si>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</si>
  <si>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</si>
  <si>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</si>
  <si>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</si>
  <si>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</si>
  <si>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</si>
  <si>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</si>
  <si>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</si>
  <si>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</si>
  <si>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</si>
  <si>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</si>
  <si>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</si>
  <si>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</si>
  <si>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</si>
  <si>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</si>
  <si>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</si>
  <si>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</si>
  <si>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</si>
  <si>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</si>
  <si>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</si>
  <si>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</si>
  <si>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</si>
  <si>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</si>
  <si>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</si>
  <si>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</si>
  <si>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</si>
  <si>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</si>
  <si>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</si>
  <si>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</si>
  <si>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</si>
  <si>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</si>
  <si>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</si>
  <si>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</si>
  <si>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</si>
  <si>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</si>
  <si>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</si>
  <si>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</si>
  <si>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</si>
  <si>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</si>
  <si>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</si>
  <si>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</si>
  <si>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</si>
  <si>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</si>
  <si>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</si>
  <si>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</si>
  <si>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</si>
  <si>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</si>
  <si>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</si>
  <si>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</si>
  <si>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</si>
  <si>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</si>
  <si>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</si>
  <si>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</si>
  <si>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</si>
  <si>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</si>
  <si>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</si>
  <si>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</si>
  <si>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</si>
  <si>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</si>
  <si>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</si>
  <si>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</si>
  <si>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</si>
  <si>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</si>
  <si>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</si>
  <si>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</si>
  <si>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</si>
  <si>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</si>
  <si>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</si>
  <si>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</si>
  <si>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</si>
  <si>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</si>
  <si>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</si>
  <si>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</si>
  <si>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</si>
  <si>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</si>
  <si>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</si>
  <si>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</si>
  <si>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</si>
  <si>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</si>
  <si>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</si>
  <si>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</si>
  <si>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</si>
  <si>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</si>
  <si>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</si>
  <si>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</si>
  <si>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</si>
  <si>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</si>
  <si>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</si>
  <si>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</si>
  <si>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</si>
  <si>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</si>
  <si>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</si>
  <si>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</si>
  <si>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</si>
  <si>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</si>
  <si>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</si>
  <si>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</si>
  <si>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</si>
  <si>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</si>
  <si>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</si>
  <si>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</si>
  <si>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</si>
  <si>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</si>
  <si>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</si>
  <si>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</si>
  <si>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</si>
  <si>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</si>
  <si>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</si>
  <si>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</si>
  <si>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</si>
  <si>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</si>
  <si>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</si>
  <si>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</si>
  <si>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</si>
  <si>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</si>
  <si>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</si>
  <si>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</si>
  <si>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</si>
  <si>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</si>
  <si>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</si>
  <si>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</si>
  <si>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</si>
  <si>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</si>
  <si>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</si>
  <si>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</si>
  <si>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</si>
  <si>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</si>
  <si>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</si>
  <si>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</si>
  <si>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</si>
  <si>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</si>
  <si>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</si>
  <si>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</si>
  <si>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</si>
  <si>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</si>
  <si>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</si>
  <si>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</si>
  <si>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</si>
  <si>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</si>
  <si>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</si>
  <si>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</si>
  <si>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</si>
  <si>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</si>
  <si>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</si>
  <si>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</si>
  <si>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</si>
  <si>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</si>
  <si>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</si>
  <si>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</si>
  <si>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</si>
  <si>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</si>
  <si>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</si>
  <si>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</si>
  <si>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</si>
  <si>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</si>
  <si>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</si>
  <si>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</si>
  <si>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</si>
  <si>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</si>
  <si>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</si>
  <si>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</si>
  <si>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</si>
  <si>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</si>
  <si>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</si>
  <si>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</si>
  <si>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</si>
  <si>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</si>
  <si>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</si>
  <si>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</si>
  <si>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</si>
  <si>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</si>
  <si>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</si>
  <si>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</si>
  <si>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</si>
  <si>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</si>
  <si>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</si>
  <si>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</si>
  <si>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</si>
  <si>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</si>
  <si>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</si>
  <si>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</si>
  <si>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</si>
  <si>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</si>
  <si>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</si>
  <si>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</si>
  <si>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</si>
  <si>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</si>
  <si>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</si>
  <si>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</si>
  <si>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</si>
  <si>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</si>
  <si>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</si>
  <si>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</si>
  <si>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</si>
  <si>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</si>
  <si>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</si>
  <si>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</si>
  <si>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</si>
  <si>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</si>
  <si>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</si>
  <si>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</si>
  <si>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</si>
  <si>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</si>
  <si>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</si>
  <si>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</si>
  <si>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</si>
  <si>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</si>
  <si>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</si>
  <si>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</si>
  <si>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</si>
  <si>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</si>
  <si>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</si>
  <si>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</si>
  <si>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</si>
  <si>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</si>
  <si>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</si>
  <si>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</si>
  <si>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</si>
  <si>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</si>
  <si>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</si>
  <si>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</si>
  <si>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</si>
  <si>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</si>
  <si>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</si>
  <si>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</si>
  <si>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</si>
  <si>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</si>
  <si>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</si>
  <si>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</si>
  <si>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</si>
  <si>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</si>
  <si>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</si>
  <si>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</si>
  <si>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</si>
  <si>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</si>
  <si>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</si>
  <si>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</si>
  <si>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</si>
  <si>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</si>
  <si>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</si>
  <si>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</si>
  <si>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</si>
  <si>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</si>
  <si>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</si>
  <si>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</si>
  <si>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</si>
  <si>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</si>
  <si>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</si>
  <si>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</si>
  <si>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</si>
  <si>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</si>
  <si>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</si>
  <si>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</si>
  <si>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</si>
  <si>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</si>
  <si>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</si>
  <si>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</si>
  <si>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</si>
  <si>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</si>
  <si>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</si>
  <si>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</si>
  <si>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</si>
  <si>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</si>
  <si>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</si>
  <si>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</si>
  <si>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</si>
  <si>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</si>
  <si>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</si>
  <si>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</si>
  <si>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</si>
  <si>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</si>
  <si>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</si>
  <si>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</si>
  <si>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</si>
  <si>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</si>
  <si>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</si>
  <si>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</si>
  <si>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</si>
  <si>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</si>
  <si>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</si>
  <si>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</si>
  <si>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</si>
  <si>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</si>
  <si>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</si>
  <si>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</si>
  <si>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</si>
  <si>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</si>
  <si>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</si>
  <si>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</si>
  <si>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</si>
  <si>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</si>
  <si>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</si>
  <si>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</si>
  <si>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</si>
  <si>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</si>
  <si>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</si>
  <si>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</si>
  <si>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</si>
  <si>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</si>
  <si>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</si>
  <si>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</si>
  <si>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</si>
  <si>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</si>
  <si>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</si>
  <si>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</si>
  <si>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</si>
  <si>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</si>
  <si>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</si>
  <si>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</si>
  <si>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</si>
  <si>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</si>
  <si>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</si>
  <si>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</si>
  <si>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</si>
  <si>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</si>
  <si>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</si>
  <si>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</si>
  <si>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</si>
  <si>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</si>
  <si>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</si>
  <si>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</si>
  <si>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</si>
  <si>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</si>
  <si>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</si>
  <si>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</si>
  <si>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</si>
  <si>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</si>
  <si>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</si>
  <si>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</si>
  <si>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</si>
  <si>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</si>
  <si>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</si>
  <si>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</si>
  <si>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</si>
  <si>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</si>
  <si>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</si>
  <si>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</si>
  <si>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</si>
  <si>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</si>
  <si>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</si>
  <si>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</si>
  <si>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</si>
  <si>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</si>
  <si>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</si>
  <si>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</si>
  <si>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</si>
  <si>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</si>
  <si>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</si>
  <si>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</si>
  <si>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</si>
  <si>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</si>
  <si>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</si>
  <si>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</si>
  <si>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</si>
  <si>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</si>
  <si>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</si>
  <si>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</si>
  <si>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</si>
  <si>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</si>
  <si>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</si>
  <si>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</si>
  <si>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</si>
  <si>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</si>
  <si>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</si>
  <si>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</si>
  <si>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</si>
  <si>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</si>
  <si>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</si>
  <si>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</si>
  <si>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</si>
  <si>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</si>
  <si>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</si>
  <si>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</si>
  <si>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</si>
  <si>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</si>
  <si>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</si>
  <si>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</si>
  <si>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</si>
  <si>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</si>
  <si>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</si>
  <si>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</si>
  <si>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</si>
  <si>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</si>
  <si>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</si>
  <si>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</si>
  <si>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</si>
  <si>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</si>
  <si>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</si>
  <si>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</si>
  <si>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</si>
  <si>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</si>
  <si>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</si>
  <si>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</si>
  <si>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</si>
  <si>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</si>
  <si>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</si>
  <si>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</si>
  <si>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</si>
  <si>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</si>
  <si>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</si>
  <si>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</si>
  <si>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</si>
  <si>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</si>
  <si>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</si>
  <si>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</si>
  <si>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</si>
  <si>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</si>
  <si>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</si>
  <si>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</si>
  <si>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</si>
  <si>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</si>
  <si>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</si>
  <si>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</si>
  <si>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</si>
  <si>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</si>
  <si>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</si>
  <si>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</si>
  <si>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</si>
  <si>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</si>
  <si>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</si>
  <si>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</si>
  <si>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</si>
  <si>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</si>
  <si>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</si>
  <si>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</si>
  <si>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</si>
  <si>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</si>
  <si>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</si>
  <si>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</si>
  <si>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</si>
  <si>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</si>
  <si>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</si>
  <si>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</si>
  <si>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</si>
  <si>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</si>
  <si>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</si>
  <si>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</si>
  <si>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</si>
  <si>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</si>
  <si>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</si>
  <si>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</si>
  <si>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</si>
  <si>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</si>
  <si>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</si>
  <si>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</si>
  <si>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</si>
  <si>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</si>
  <si>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</si>
  <si>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</si>
  <si>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</si>
  <si>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</si>
  <si>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</si>
  <si>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</si>
  <si>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</si>
  <si>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</si>
  <si>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</si>
  <si>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</si>
  <si>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</si>
  <si>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</si>
  <si>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</si>
  <si>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</si>
  <si>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</si>
  <si>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</si>
  <si>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</si>
  <si>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</si>
  <si>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</si>
  <si>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</si>
  <si>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</si>
  <si>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</si>
  <si>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</si>
  <si>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</si>
  <si>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</si>
  <si>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</si>
  <si>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</si>
  <si>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</si>
  <si>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</si>
  <si>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</si>
  <si>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</si>
  <si>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</si>
  <si>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</si>
  <si>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</si>
  <si>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</si>
  <si>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</si>
  <si>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</si>
  <si>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</si>
  <si>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</si>
  <si>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</si>
  <si>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</si>
  <si>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</si>
  <si>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</si>
  <si>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</si>
  <si>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</si>
  <si>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</si>
  <si>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</si>
  <si>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</si>
  <si>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</si>
  <si>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</si>
  <si>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</si>
  <si>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</si>
  <si>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</si>
  <si>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</si>
  <si>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</si>
  <si>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</si>
  <si>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</si>
  <si>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</si>
  <si>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</si>
  <si>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</si>
  <si>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</si>
  <si>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</si>
  <si>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</si>
  <si>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</si>
  <si>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</si>
  <si>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</si>
  <si>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</si>
  <si>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</si>
  <si>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</si>
  <si>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</si>
  <si>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</si>
  <si>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</si>
  <si>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</si>
  <si>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</si>
  <si>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</si>
  <si>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</si>
  <si>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</si>
  <si>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</si>
  <si>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</si>
  <si>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</si>
  <si>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</si>
  <si>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</si>
  <si>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</si>
  <si>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</si>
  <si>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</si>
  <si>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</si>
  <si>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</si>
  <si>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</si>
  <si>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</si>
  <si>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</si>
  <si>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</si>
  <si>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</si>
  <si>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</si>
  <si>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</si>
  <si>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</si>
  <si>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</si>
  <si>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</si>
  <si>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</si>
  <si>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</si>
  <si>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</si>
  <si>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</si>
  <si>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</si>
  <si>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</si>
  <si>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</si>
  <si>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</si>
  <si>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</si>
  <si>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</si>
  <si>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</si>
  <si>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</si>
  <si>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</si>
  <si>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</si>
  <si>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</si>
  <si>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</si>
  <si>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</si>
  <si>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</si>
  <si>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</si>
  <si>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</si>
  <si>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</si>
  <si>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</si>
  <si>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</si>
  <si>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</si>
  <si>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</si>
  <si>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</si>
  <si>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</si>
  <si>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</si>
  <si>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</si>
  <si>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</si>
  <si>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</si>
  <si>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</si>
  <si>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</si>
  <si>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</si>
  <si>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</si>
  <si>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</si>
  <si>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</si>
  <si>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</si>
  <si>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</si>
  <si>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</si>
  <si>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</si>
  <si>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</si>
  <si>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</si>
  <si>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</si>
  <si>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</si>
  <si>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</si>
  <si>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</si>
  <si>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</si>
  <si>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</si>
  <si>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</si>
  <si>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</si>
  <si>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</si>
  <si>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</si>
  <si>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</si>
  <si>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</si>
  <si>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</si>
  <si>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</si>
  <si>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</si>
  <si>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</si>
  <si>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</si>
  <si>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</si>
  <si>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</si>
  <si>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</si>
  <si>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</si>
  <si>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</si>
  <si>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</si>
  <si>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</si>
  <si>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</si>
  <si>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</si>
  <si>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</si>
  <si>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</si>
  <si>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</si>
  <si>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</si>
  <si>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</si>
  <si>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</si>
  <si>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</si>
  <si>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</si>
  <si>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</si>
  <si>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</si>
  <si>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</si>
  <si>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</si>
  <si>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</si>
  <si>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</si>
  <si>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</si>
  <si>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</si>
  <si>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</si>
  <si>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</si>
  <si>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</si>
  <si>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</si>
  <si>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</si>
  <si>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</si>
  <si>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</si>
  <si>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</si>
  <si>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</si>
  <si>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</si>
  <si>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</si>
  <si>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</si>
  <si>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</si>
  <si>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</si>
  <si>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</si>
  <si>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</si>
  <si>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</si>
  <si>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</si>
  <si>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</si>
  <si>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</si>
  <si>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</si>
  <si>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</si>
  <si>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</si>
  <si>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</si>
  <si>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</si>
  <si>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</si>
  <si>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</si>
  <si>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</si>
  <si>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</si>
  <si>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</si>
  <si>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</si>
  <si>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</si>
  <si>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</si>
  <si>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</si>
  <si>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</si>
  <si>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</si>
  <si>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</si>
  <si>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</si>
  <si>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</si>
  <si>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</si>
  <si>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</si>
  <si>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</si>
  <si>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</si>
  <si>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</si>
  <si>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</si>
  <si>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</si>
  <si>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</si>
  <si>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</si>
  <si>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</si>
  <si>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</si>
  <si>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</si>
  <si>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</si>
  <si>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</si>
  <si>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</si>
  <si>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</si>
  <si>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</si>
  <si>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</si>
  <si>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</si>
  <si>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</si>
  <si>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</si>
  <si>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</si>
  <si>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</si>
  <si>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</si>
  <si>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</si>
  <si>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</si>
  <si>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</si>
  <si>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</si>
  <si>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</si>
  <si>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</si>
  <si>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</si>
  <si>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</si>
  <si>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</si>
  <si>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</si>
  <si>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</si>
  <si>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</si>
  <si>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</si>
  <si>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</si>
  <si>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</si>
  <si>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</si>
  <si>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</si>
  <si>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</si>
  <si>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</si>
  <si>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</si>
  <si>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</si>
  <si>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</si>
  <si>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</si>
  <si>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</si>
  <si>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</si>
  <si>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</si>
  <si>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</si>
  <si>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</si>
  <si>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</si>
  <si>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</si>
  <si>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</si>
  <si>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</si>
  <si>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</si>
  <si>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</si>
  <si>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</si>
  <si>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</si>
  <si>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</si>
  <si>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</si>
  <si>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</si>
  <si>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</si>
  <si>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</si>
  <si>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</si>
  <si>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</si>
  <si>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</si>
  <si>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</si>
  <si>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</si>
  <si>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</si>
  <si>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</si>
  <si>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</si>
  <si>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</si>
  <si>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</si>
  <si>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</si>
  <si>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</si>
  <si>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</si>
  <si>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</si>
  <si>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</si>
  <si>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</si>
  <si>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</si>
  <si>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</si>
  <si>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</si>
  <si>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</si>
  <si>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</si>
  <si>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</si>
  <si>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</si>
  <si>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</si>
  <si>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</si>
  <si>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</si>
  <si>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</si>
  <si>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</si>
  <si>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</si>
  <si>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</si>
  <si>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</si>
  <si>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</si>
  <si>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</si>
  <si>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</si>
  <si>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</si>
  <si>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</si>
  <si>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</si>
  <si>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</si>
  <si>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</si>
  <si>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</si>
  <si>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</si>
  <si>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</si>
  <si>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</si>
  <si>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</si>
  <si>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</si>
  <si>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</si>
  <si>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</si>
  <si>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</si>
  <si>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</si>
  <si>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</si>
  <si>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</si>
  <si>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</si>
  <si>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</si>
  <si>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</si>
  <si>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</si>
  <si>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</si>
  <si>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</si>
  <si>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</si>
  <si>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</si>
  <si>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</si>
  <si>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</si>
  <si>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</si>
  <si>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</si>
  <si>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</si>
  <si>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</si>
  <si>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</si>
  <si>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</si>
  <si>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</si>
  <si>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</si>
  <si>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</si>
  <si>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</si>
  <si>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</si>
  <si>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</si>
  <si>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</si>
  <si>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</si>
  <si>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</si>
  <si>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</si>
  <si>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</si>
  <si>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</si>
  <si>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</si>
  <si>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</si>
  <si>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</si>
  <si>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</si>
  <si>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</si>
  <si>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</si>
  <si>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</si>
  <si>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</si>
  <si>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</si>
  <si>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</si>
  <si>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</si>
  <si>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</si>
  <si>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</si>
  <si>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</si>
  <si>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</si>
  <si>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</si>
  <si>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</si>
  <si>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</si>
  <si>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</si>
  <si>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</si>
  <si>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</si>
  <si>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</si>
  <si>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</si>
  <si>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</si>
  <si>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</si>
  <si>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</si>
  <si>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</si>
  <si>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</si>
  <si>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</si>
  <si>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</si>
  <si>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</si>
  <si>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</si>
  <si>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</si>
  <si>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</si>
  <si>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</si>
  <si>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</si>
  <si>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</si>
  <si>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</si>
  <si>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</si>
  <si>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</si>
  <si>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</si>
  <si>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</si>
  <si>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</si>
  <si>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</si>
  <si>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</si>
  <si>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</si>
  <si>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</si>
  <si>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</si>
  <si>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</si>
  <si>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</si>
  <si>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</si>
  <si>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</si>
  <si>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</si>
  <si>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</si>
  <si>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</si>
  <si>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</si>
  <si>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</si>
  <si>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</si>
  <si>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</si>
  <si>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</si>
  <si>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</si>
  <si>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</si>
  <si>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</si>
  <si>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</si>
  <si>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</si>
  <si>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</si>
  <si>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</si>
  <si>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</si>
  <si>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</si>
  <si>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</si>
  <si>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</si>
  <si>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</si>
  <si>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</si>
  <si>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</si>
  <si>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</si>
  <si>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</si>
  <si>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</si>
  <si>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</si>
  <si>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</si>
  <si>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</si>
  <si>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</si>
  <si>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</si>
  <si>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</si>
  <si>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</si>
  <si>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</si>
  <si>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</si>
  <si>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</si>
  <si>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</si>
  <si>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</si>
  <si>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</si>
  <si>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</si>
  <si>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</si>
  <si>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</si>
  <si>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</si>
  <si>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</si>
  <si>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</si>
  <si>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</si>
  <si>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</si>
  <si>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</si>
  <si>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</si>
  <si>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</si>
  <si>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</si>
  <si>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</si>
  <si>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</si>
  <si>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</si>
  <si>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</si>
  <si>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</si>
  <si>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</si>
  <si>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</si>
  <si>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</si>
  <si>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</si>
  <si>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</si>
  <si>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</si>
  <si>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</si>
  <si>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</si>
  <si>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</si>
  <si>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</si>
  <si>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</si>
  <si>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</si>
  <si>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</si>
  <si>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</si>
  <si>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</si>
  <si>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</si>
  <si>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</si>
  <si>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</si>
  <si>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</si>
  <si>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</si>
  <si>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</si>
  <si>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</si>
  <si>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</si>
  <si>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</si>
  <si>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</si>
  <si>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</si>
  <si>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</si>
  <si>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</si>
  <si>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</si>
  <si>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</si>
  <si>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</si>
  <si>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</si>
  <si>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</si>
  <si>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</si>
  <si>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</si>
  <si>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</si>
  <si>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</si>
  <si>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</si>
  <si>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</si>
  <si>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</si>
  <si>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</si>
  <si>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</si>
  <si>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</si>
  <si>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</si>
  <si>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</si>
  <si>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</si>
  <si>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</si>
  <si>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</si>
  <si>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</si>
  <si>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初回指定年月日：</t>
    <rPh sb="0" eb="2">
      <t>ショカイ</t>
    </rPh>
    <rPh sb="2" eb="4">
      <t>シテイ</t>
    </rPh>
    <rPh sb="4" eb="7">
      <t>ネンガッピ</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</si>
  <si>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</si>
  <si>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</si>
  <si>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</si>
  <si>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</si>
  <si>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</si>
  <si>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</si>
  <si>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</si>
  <si>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</si>
  <si>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</si>
  <si>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</si>
  <si>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</si>
  <si>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</si>
  <si>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</si>
  <si>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</si>
  <si>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</si>
  <si>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</si>
  <si>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</si>
  <si>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</si>
  <si>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</si>
  <si>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</si>
  <si>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</si>
  <si>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</si>
  <si>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</si>
  <si>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</si>
  <si>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</si>
  <si>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</si>
  <si>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</si>
  <si>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</si>
  <si>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</si>
  <si>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</si>
  <si>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</si>
  <si>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</si>
  <si>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</si>
  <si>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</si>
  <si>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</si>
  <si>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</si>
  <si>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</si>
  <si>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</si>
  <si>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</si>
  <si>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</si>
  <si>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</si>
  <si>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</si>
  <si>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</si>
  <si>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</si>
  <si>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</si>
  <si>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</si>
  <si>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</si>
  <si>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</si>
  <si>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</si>
  <si>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</si>
  <si>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</si>
  <si>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</si>
  <si>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</si>
  <si>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</si>
  <si>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</si>
  <si>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</si>
  <si>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</si>
  <si>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</si>
  <si>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</si>
  <si>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</si>
  <si>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</si>
  <si>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</si>
  <si>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</si>
  <si>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</si>
  <si>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</si>
  <si>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</si>
  <si>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</si>
  <si>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</si>
  <si>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</si>
  <si>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</si>
  <si>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</si>
  <si>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</si>
  <si>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</si>
  <si>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</si>
  <si>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</si>
  <si>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</si>
  <si>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</si>
  <si>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</si>
  <si>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</si>
  <si>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</si>
  <si>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</si>
  <si>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</si>
  <si>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</si>
  <si>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</si>
  <si>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</si>
  <si>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</si>
  <si>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</si>
  <si>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</si>
  <si>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</si>
  <si>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</si>
  <si>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</si>
  <si>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</si>
  <si>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</si>
  <si>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</si>
  <si>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</si>
  <si>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</si>
  <si>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</si>
  <si>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</si>
  <si>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</si>
  <si>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</si>
  <si>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</si>
  <si>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</si>
  <si>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</si>
  <si>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</si>
  <si>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</si>
  <si>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</si>
  <si>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</si>
  <si>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</si>
  <si>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</si>
  <si>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</si>
  <si>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</si>
  <si>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</si>
  <si>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</si>
  <si>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</si>
  <si>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</si>
  <si>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</si>
  <si>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</si>
  <si>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</si>
  <si>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</si>
  <si>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</si>
  <si>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</si>
  <si>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</si>
  <si>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</si>
  <si>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</si>
  <si>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</si>
  <si>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</si>
  <si>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</si>
  <si>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</si>
  <si>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</si>
  <si>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</si>
  <si>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</si>
  <si>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</si>
  <si>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</si>
  <si>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</si>
  <si>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</si>
  <si>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</si>
  <si>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</si>
  <si>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</si>
  <si>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</si>
  <si>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</si>
  <si>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</si>
  <si>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</si>
  <si>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</si>
  <si>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</si>
  <si>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</si>
  <si>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</si>
  <si>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</si>
  <si>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</si>
  <si>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</si>
  <si>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</si>
  <si>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</si>
  <si>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</si>
  <si>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</si>
  <si>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</si>
  <si>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</si>
  <si>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</si>
  <si>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</si>
  <si>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</si>
  <si>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</si>
  <si>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</si>
  <si>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</si>
  <si>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</si>
  <si>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</si>
  <si>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</si>
  <si>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</si>
  <si>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</si>
  <si>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</si>
  <si>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</si>
  <si>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</si>
  <si>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</si>
  <si>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</si>
  <si>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</si>
  <si>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</si>
  <si>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</si>
  <si>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</si>
  <si>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</si>
  <si>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</si>
  <si>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</si>
  <si>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</si>
  <si>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</si>
  <si>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</si>
  <si>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</si>
  <si>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</si>
  <si>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</si>
  <si>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</si>
  <si>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</si>
  <si>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</si>
  <si>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</si>
  <si>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</si>
  <si>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</si>
  <si>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</si>
  <si>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</si>
  <si>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</si>
  <si>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</si>
  <si>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</si>
  <si>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</si>
  <si>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</si>
  <si>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</si>
  <si>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</si>
  <si>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</si>
  <si>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</si>
  <si>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</si>
  <si>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</si>
  <si>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</si>
  <si>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</si>
  <si>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</si>
  <si>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</si>
  <si>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</si>
  <si>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</si>
  <si>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</si>
  <si>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</si>
  <si>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</si>
  <si>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</si>
  <si>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</si>
  <si>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</si>
  <si>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</si>
  <si>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</si>
  <si>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</si>
  <si>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</si>
  <si>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</si>
  <si>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</si>
  <si>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</si>
  <si>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</si>
  <si>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</si>
  <si>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</si>
  <si>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</si>
  <si>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</si>
  <si>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</si>
  <si>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</si>
  <si>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</si>
  <si>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</si>
  <si>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</si>
  <si>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</si>
  <si>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</si>
  <si>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</si>
  <si>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</si>
  <si>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</si>
  <si>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</si>
  <si>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</si>
  <si>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</si>
  <si>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</si>
  <si>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</si>
  <si>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</si>
  <si>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</si>
  <si>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</si>
  <si>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</si>
  <si>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</si>
  <si>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</si>
  <si>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</si>
  <si>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</si>
  <si>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</si>
  <si>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</si>
  <si>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</si>
  <si>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</si>
  <si>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</si>
  <si>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</si>
  <si>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</si>
  <si>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</si>
  <si>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</si>
  <si>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</si>
  <si>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</si>
  <si>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</si>
  <si>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</si>
  <si>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</si>
  <si>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</si>
  <si>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</si>
  <si>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</si>
  <si>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</si>
  <si>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</si>
  <si>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</si>
  <si>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</si>
  <si>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</si>
  <si>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</si>
  <si>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</si>
  <si>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</si>
  <si>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</si>
  <si>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</si>
  <si>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</si>
  <si>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</si>
  <si>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</si>
  <si>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</si>
  <si>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</si>
  <si>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</si>
  <si>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</si>
  <si>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</si>
  <si>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</si>
  <si>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</si>
  <si>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</si>
  <si>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</si>
  <si>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</si>
  <si>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</si>
  <si>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</si>
  <si>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</si>
  <si>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</si>
  <si>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</si>
  <si>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</si>
  <si>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</si>
  <si>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</si>
  <si>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</si>
  <si>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</si>
  <si>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</si>
  <si>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</si>
  <si>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</si>
  <si>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</si>
  <si>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</si>
  <si>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</si>
  <si>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</si>
  <si>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</si>
  <si>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</si>
  <si>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</si>
  <si>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</si>
  <si>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</si>
  <si>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</si>
  <si>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</si>
  <si>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</si>
  <si>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</si>
  <si>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</si>
  <si>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</si>
  <si>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</si>
  <si>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</si>
  <si>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</si>
  <si>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</si>
  <si>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</si>
  <si>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</si>
  <si>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</si>
  <si>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</si>
  <si>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</si>
  <si>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</si>
  <si>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</si>
  <si>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</si>
  <si>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</si>
  <si>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</si>
  <si>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</si>
  <si>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</si>
  <si>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</si>
  <si>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</si>
  <si>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</si>
  <si>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</si>
  <si>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</si>
  <si>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</si>
  <si>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</si>
  <si>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</si>
  <si>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</si>
  <si>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</si>
  <si>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</si>
  <si>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</si>
  <si>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</si>
  <si>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</si>
  <si>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</si>
  <si>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</si>
  <si>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</si>
  <si>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</si>
  <si>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</si>
  <si>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</si>
  <si>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</si>
  <si>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</si>
  <si>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</si>
  <si>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</si>
  <si>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</si>
  <si>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</si>
  <si>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</si>
  <si>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</si>
  <si>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</si>
  <si>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</si>
  <si>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</si>
  <si>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</si>
  <si>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</si>
  <si>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</si>
  <si>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</si>
  <si>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</si>
  <si>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</si>
  <si>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</si>
  <si>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</si>
  <si>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</si>
  <si>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</si>
  <si>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</si>
  <si>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</si>
  <si>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</si>
  <si>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</si>
  <si>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</si>
  <si>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</si>
  <si>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</si>
  <si>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</si>
  <si>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</si>
  <si>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</si>
  <si>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</si>
  <si>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</si>
  <si>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</si>
  <si>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</si>
  <si>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</si>
  <si>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</si>
  <si>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</si>
  <si>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</si>
  <si>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</si>
  <si>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</si>
  <si>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</si>
  <si>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</si>
  <si>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</si>
  <si>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</si>
  <si>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</si>
  <si>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</si>
  <si>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</si>
  <si>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</si>
  <si>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</si>
  <si>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</si>
  <si>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</si>
  <si>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</si>
  <si>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</si>
  <si>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</si>
  <si>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</si>
  <si>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</si>
  <si>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</si>
  <si>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</si>
  <si>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</si>
  <si>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</si>
  <si>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</si>
  <si>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</si>
  <si>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</si>
  <si>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</si>
  <si>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</si>
  <si>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</si>
  <si>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</si>
  <si>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</si>
  <si>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</si>
  <si>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</si>
  <si>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</si>
  <si>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</si>
  <si>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</si>
  <si>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</si>
  <si>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</si>
  <si>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</si>
  <si>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</si>
  <si>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</si>
  <si>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</si>
  <si>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</si>
  <si>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</si>
  <si>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</si>
  <si>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</si>
  <si>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</si>
  <si>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</si>
  <si>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</si>
  <si>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</si>
  <si>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</si>
  <si>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</si>
  <si>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</si>
  <si>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</si>
  <si>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</si>
  <si>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</si>
  <si>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</si>
  <si>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</si>
  <si>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</si>
  <si>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</si>
  <si>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</si>
  <si>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</si>
  <si>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</si>
  <si>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</si>
  <si>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</si>
  <si>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</si>
  <si>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</si>
  <si>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</si>
  <si>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</si>
  <si>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</si>
  <si>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</si>
  <si>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</si>
  <si>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</si>
  <si>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</si>
  <si>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</si>
  <si>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</si>
  <si>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</si>
  <si>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</si>
  <si>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</si>
  <si>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</si>
  <si>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</si>
  <si>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</si>
  <si>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</si>
  <si>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</si>
  <si>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</si>
  <si>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</si>
  <si>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</si>
  <si>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</si>
  <si>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</si>
  <si>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</si>
  <si>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</si>
  <si>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</si>
  <si>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</si>
  <si>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</si>
  <si>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</si>
  <si>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</si>
  <si>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</si>
  <si>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</si>
  <si>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</si>
  <si>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</si>
  <si>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</si>
  <si>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</si>
  <si>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</si>
  <si>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</si>
  <si>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</si>
  <si>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</si>
  <si>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</si>
  <si>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</si>
  <si>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</si>
  <si>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</si>
  <si>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</si>
  <si>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</si>
  <si>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</si>
  <si>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</si>
  <si>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</si>
  <si>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</si>
  <si>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</si>
  <si>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</si>
  <si>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</si>
  <si>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</si>
  <si>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</si>
  <si>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</si>
  <si>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</si>
  <si>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</si>
  <si>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</si>
  <si>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</si>
  <si>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</si>
  <si>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</si>
  <si>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</si>
  <si>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</si>
  <si>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</si>
  <si>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</si>
  <si>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</si>
  <si>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</si>
  <si>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</si>
  <si>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</si>
  <si>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</si>
  <si>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</si>
  <si>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</si>
  <si>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</si>
  <si>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</si>
  <si>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</si>
  <si>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</si>
  <si>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</si>
  <si>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社会医療法人生長会　ベルランド総合病院</t>
    <phoneticPr fontId="8"/>
  </si>
  <si>
    <t>大阪府がん診療拠点病院</t>
  </si>
  <si>
    <t>072-234-2001</t>
  </si>
  <si>
    <t>kikakushitsu@bh.seichokai.or.jp</t>
  </si>
  <si>
    <t>しゃかいいりょうほうじんせいちょうかい　べるらんどそうごうびょういん</t>
  </si>
  <si>
    <t>599-8247</t>
  </si>
  <si>
    <t>大阪府</t>
    <rPh sb="0" eb="3">
      <t>おおさかふ</t>
    </rPh>
    <phoneticPr fontId="8" type="Hiragana"/>
  </si>
  <si>
    <t>堺市中区東山500番地3</t>
    <rPh sb="9" eb="11">
      <t>ばんち</t>
    </rPh>
    <phoneticPr fontId="8" type="Hiragana"/>
  </si>
  <si>
    <t>さかいしなかくひがしやま</t>
  </si>
  <si>
    <t>072-234-2003</t>
  </si>
  <si>
    <t>https://www.seichokai.or.jp/bell/</t>
  </si>
  <si>
    <t>堺市</t>
  </si>
  <si>
    <t>可</t>
  </si>
  <si>
    <t>あり</t>
    <phoneticPr fontId="8" type="Hiragana"/>
  </si>
  <si>
    <t>あり</t>
  </si>
  <si>
    <t>いいえ</t>
  </si>
  <si>
    <t>はい</t>
  </si>
  <si>
    <t>医用原子力技術研究振興財団</t>
    <rPh sb="0" eb="2">
      <t>イヨウ</t>
    </rPh>
    <rPh sb="2" eb="5">
      <t>ゲンシリョク</t>
    </rPh>
    <rPh sb="5" eb="7">
      <t>ギジュツ</t>
    </rPh>
    <rPh sb="7" eb="9">
      <t>ケンキュウ</t>
    </rPh>
    <rPh sb="9" eb="11">
      <t>シンコウ</t>
    </rPh>
    <rPh sb="11" eb="13">
      <t>ザイダン</t>
    </rPh>
    <phoneticPr fontId="8"/>
  </si>
  <si>
    <t>病院HP掲載</t>
    <rPh sb="0" eb="2">
      <t>ビョウイン</t>
    </rPh>
    <rPh sb="4" eb="6">
      <t>ケイサイ</t>
    </rPh>
    <phoneticPr fontId="8"/>
  </si>
  <si>
    <t>放射線治療品質管理士　2名</t>
    <rPh sb="0" eb="3">
      <t>ホウシャセン</t>
    </rPh>
    <rPh sb="3" eb="5">
      <t>チリョウ</t>
    </rPh>
    <rPh sb="5" eb="7">
      <t>ヒンシツ</t>
    </rPh>
    <rPh sb="7" eb="10">
      <t>カンリシ</t>
    </rPh>
    <rPh sb="12" eb="13">
      <t>メイ</t>
    </rPh>
    <phoneticPr fontId="8"/>
  </si>
  <si>
    <t>医療機関のWEBサイトに掲載</t>
  </si>
  <si>
    <t>急性期病院におけるACP、緩和ケアチームへのアプローチ</t>
    <rPh sb="0" eb="3">
      <t>キュウセイキ</t>
    </rPh>
    <rPh sb="3" eb="5">
      <t>ビョウイン</t>
    </rPh>
    <rPh sb="13" eb="15">
      <t>カンワ</t>
    </rPh>
    <phoneticPr fontId="8"/>
  </si>
  <si>
    <t>ACPにおける看護支援　</t>
    <rPh sb="7" eb="9">
      <t>カンゴ</t>
    </rPh>
    <rPh sb="9" eb="11">
      <t>シエン</t>
    </rPh>
    <phoneticPr fontId="9"/>
  </si>
  <si>
    <t>病院HPに記載</t>
    <rPh sb="0" eb="2">
      <t>ビョウイン</t>
    </rPh>
    <rPh sb="5" eb="7">
      <t>キサイ</t>
    </rPh>
    <phoneticPr fontId="9"/>
  </si>
  <si>
    <t>適切な機関に紹介</t>
  </si>
  <si>
    <t>医療機関のwebサイトに掲載</t>
    <rPh sb="0" eb="2">
      <t>イリョウ</t>
    </rPh>
    <rPh sb="2" eb="4">
      <t>キカン</t>
    </rPh>
    <rPh sb="12" eb="14">
      <t>ケイサイ</t>
    </rPh>
    <phoneticPr fontId="8"/>
  </si>
  <si>
    <t>院内掲示</t>
    <rPh sb="0" eb="2">
      <t>インナイ</t>
    </rPh>
    <rPh sb="2" eb="4">
      <t>ケイジ</t>
    </rPh>
    <phoneticPr fontId="8"/>
  </si>
  <si>
    <t>－</t>
  </si>
  <si>
    <t>院内掲示</t>
    <rPh sb="0" eb="2">
      <t>インナイ</t>
    </rPh>
    <rPh sb="2" eb="4">
      <t>ケイジ</t>
    </rPh>
    <phoneticPr fontId="9"/>
  </si>
  <si>
    <t>日本医療機能評価機構 病院機能評価</t>
  </si>
  <si>
    <t>△</t>
  </si>
  <si>
    <t>◎</t>
  </si>
  <si>
    <t>無</t>
  </si>
  <si>
    <t>無</t>
    <phoneticPr fontId="63"/>
  </si>
  <si>
    <t>脳神経外科</t>
    <rPh sb="0" eb="5">
      <t>ノウシンケイゲカ</t>
    </rPh>
    <phoneticPr fontId="42"/>
  </si>
  <si>
    <t>眼科</t>
    <rPh sb="0" eb="2">
      <t>ガンカ</t>
    </rPh>
    <phoneticPr fontId="42"/>
  </si>
  <si>
    <t>耳鼻咽喉科・頭頚部外科</t>
    <rPh sb="0" eb="2">
      <t>ジビ</t>
    </rPh>
    <rPh sb="2" eb="4">
      <t>インコウ</t>
    </rPh>
    <rPh sb="4" eb="5">
      <t>カ</t>
    </rPh>
    <rPh sb="6" eb="9">
      <t>トウケイブ</t>
    </rPh>
    <rPh sb="9" eb="11">
      <t>ゲカ</t>
    </rPh>
    <phoneticPr fontId="42"/>
  </si>
  <si>
    <t>呼吸器内科/呼吸器外科</t>
    <rPh sb="0" eb="3">
      <t>コキュウキ</t>
    </rPh>
    <rPh sb="3" eb="5">
      <t>ナイカ</t>
    </rPh>
    <rPh sb="6" eb="9">
      <t>コキュウキ</t>
    </rPh>
    <rPh sb="9" eb="11">
      <t>ゲカ</t>
    </rPh>
    <phoneticPr fontId="42"/>
  </si>
  <si>
    <t>外科/消化器内科</t>
    <rPh sb="0" eb="2">
      <t>ゲカ</t>
    </rPh>
    <rPh sb="3" eb="6">
      <t>ショウカキ</t>
    </rPh>
    <rPh sb="6" eb="8">
      <t>ナイカ</t>
    </rPh>
    <phoneticPr fontId="42"/>
  </si>
  <si>
    <t>整形外科</t>
    <rPh sb="0" eb="2">
      <t>セイケイ</t>
    </rPh>
    <rPh sb="2" eb="4">
      <t>ゲカ</t>
    </rPh>
    <phoneticPr fontId="42"/>
  </si>
  <si>
    <t>泌尿器科</t>
    <rPh sb="0" eb="4">
      <t>ヒニョウキカ</t>
    </rPh>
    <phoneticPr fontId="42"/>
  </si>
  <si>
    <t>婦人科</t>
    <rPh sb="0" eb="2">
      <t>フジン</t>
    </rPh>
    <rPh sb="2" eb="3">
      <t>カ</t>
    </rPh>
    <phoneticPr fontId="42"/>
  </si>
  <si>
    <t>形成外科</t>
    <rPh sb="0" eb="2">
      <t>ケイセイ</t>
    </rPh>
    <rPh sb="2" eb="4">
      <t>ゲカ</t>
    </rPh>
    <phoneticPr fontId="42"/>
  </si>
  <si>
    <t>血液内科</t>
    <rPh sb="0" eb="2">
      <t>ケツエキ</t>
    </rPh>
    <rPh sb="2" eb="4">
      <t>ナイカ</t>
    </rPh>
    <phoneticPr fontId="42"/>
  </si>
  <si>
    <t>毎週、患者支援、がん相談、入退院支援、医療福祉相談、地域連携の各担当者が中心となり患者サポートカンファレンスを開催している。検討内容に応じて、医師や病棟看護師、コメディカルスタッフ、事務職員等が参加し、個々の患者に適した支援や対応を検討している。</t>
  </si>
  <si>
    <t>緩和ケア外来</t>
    <rPh sb="0" eb="2">
      <t>カンワ</t>
    </rPh>
    <rPh sb="4" eb="6">
      <t>ガイライ</t>
    </rPh>
    <phoneticPr fontId="8"/>
  </si>
  <si>
    <t>緩和ケア科</t>
    <rPh sb="0" eb="2">
      <t>カンワ</t>
    </rPh>
    <rPh sb="4" eb="5">
      <t>カ</t>
    </rPh>
    <phoneticPr fontId="8"/>
  </si>
  <si>
    <t>3回/週</t>
  </si>
  <si>
    <t>患者さん本人のみならず、ご家族のサポートも行ない、身体的苦痛および精神的苦痛の緩和も目指しています。病気や将来に対する不安などの相談もあるため、がん看護専門看護師などの専門的知識を有した看護スタッフと共に外来診療を行っております。</t>
  </si>
  <si>
    <t>緩和ケア科　緩和ケア外来</t>
    <rPh sb="0" eb="2">
      <t>カンワ</t>
    </rPh>
    <rPh sb="4" eb="5">
      <t>カ</t>
    </rPh>
    <rPh sb="6" eb="8">
      <t>カンワ</t>
    </rPh>
    <rPh sb="10" eb="12">
      <t>ガイライ</t>
    </rPh>
    <phoneticPr fontId="8"/>
  </si>
  <si>
    <t>https://www.seichokai.or.jp/bell/dept/palliative_care/page/111</t>
  </si>
  <si>
    <t>がん相談支援センター</t>
    <rPh sb="2" eb="4">
      <t>ソウダン</t>
    </rPh>
    <rPh sb="4" eb="6">
      <t>シエン</t>
    </rPh>
    <phoneticPr fontId="8"/>
  </si>
  <si>
    <t>地域医療連携室　もしくは　がん相談員で対応</t>
  </si>
  <si>
    <t>病棟があります</t>
  </si>
  <si>
    <t>届け出て受理されている</t>
  </si>
  <si>
    <t>院内病棟型</t>
  </si>
  <si>
    <t>緩和ケア科　緩和病棟</t>
  </si>
  <si>
    <t>https://www.seichokai.or.jp/bell/dept/page.php?ct=MQ==&amp;sc=NzE=&amp;no=MzAz</t>
  </si>
  <si>
    <t>医師</t>
    <rPh sb="0" eb="2">
      <t>イシ</t>
    </rPh>
    <phoneticPr fontId="8"/>
  </si>
  <si>
    <t>管理栄養士</t>
    <rPh sb="0" eb="2">
      <t>カンリ</t>
    </rPh>
    <rPh sb="2" eb="5">
      <t>エイヨウシ</t>
    </rPh>
    <phoneticPr fontId="8"/>
  </si>
  <si>
    <t>医療ソーシャルワーカー</t>
    <rPh sb="0" eb="2">
      <t>イリョウ</t>
    </rPh>
    <phoneticPr fontId="8"/>
  </si>
  <si>
    <t>看護補助者</t>
    <rPh sb="0" eb="2">
      <t>カンゴ</t>
    </rPh>
    <rPh sb="2" eb="5">
      <t>ホジョシャ</t>
    </rPh>
    <phoneticPr fontId="8"/>
  </si>
  <si>
    <t>医療事務</t>
    <rPh sb="0" eb="2">
      <t>イリョウ</t>
    </rPh>
    <rPh sb="2" eb="4">
      <t>ジム</t>
    </rPh>
    <phoneticPr fontId="8"/>
  </si>
  <si>
    <t>臨床心理士</t>
    <rPh sb="0" eb="2">
      <t>リンショウ</t>
    </rPh>
    <rPh sb="2" eb="5">
      <t>シンリシ</t>
    </rPh>
    <phoneticPr fontId="63"/>
  </si>
  <si>
    <t>https://www.seichokai.or.jp/bell/dept/detail.php?no=ODg=</t>
  </si>
  <si>
    <t>地域医療連携室</t>
    <rPh sb="0" eb="7">
      <t>チイキイリョウレンケイシツ</t>
    </rPh>
    <phoneticPr fontId="8"/>
  </si>
  <si>
    <t>https://www.seichokai.or.jp/bell/dept/detail.php?no=MTQ1</t>
  </si>
  <si>
    <t>ファミリーキッチン、家族控室2室、ルーフガーデン、談話室、デイルーム、リビングコーナー、サンルーム、一般浴・機械浴</t>
  </si>
  <si>
    <t>有（連携している訪問看護ステーションがある）</t>
  </si>
  <si>
    <t>必要とする患者が発生次第、適宜対応施設を探し紹介している。</t>
  </si>
  <si>
    <t>理学療法士</t>
    <rPh sb="0" eb="5">
      <t>リガクリョウホウシ</t>
    </rPh>
    <phoneticPr fontId="8"/>
  </si>
  <si>
    <t>作業療法士</t>
    <rPh sb="0" eb="5">
      <t>サギョウリョウホウシ</t>
    </rPh>
    <phoneticPr fontId="8"/>
  </si>
  <si>
    <t>臨床心理士</t>
    <rPh sb="0" eb="2">
      <t>リンショウ</t>
    </rPh>
    <rPh sb="2" eb="4">
      <t>シンリ</t>
    </rPh>
    <rPh sb="4" eb="5">
      <t>シ</t>
    </rPh>
    <phoneticPr fontId="8"/>
  </si>
  <si>
    <t>社会福祉士</t>
    <rPh sb="0" eb="2">
      <t>シャカイ</t>
    </rPh>
    <rPh sb="2" eb="4">
      <t>フクシ</t>
    </rPh>
    <rPh sb="4" eb="5">
      <t>シ</t>
    </rPh>
    <phoneticPr fontId="8"/>
  </si>
  <si>
    <t>常勤</t>
  </si>
  <si>
    <t>日本緩和医療学会専門医</t>
    <rPh sb="0" eb="2">
      <t>ニホン</t>
    </rPh>
    <rPh sb="2" eb="4">
      <t>カンワ</t>
    </rPh>
    <rPh sb="4" eb="6">
      <t>イリョウ</t>
    </rPh>
    <rPh sb="6" eb="8">
      <t>ガッカイ</t>
    </rPh>
    <rPh sb="8" eb="11">
      <t>センモンイ</t>
    </rPh>
    <phoneticPr fontId="8"/>
  </si>
  <si>
    <t>精神保健指定医</t>
    <rPh sb="0" eb="2">
      <t>セイシン</t>
    </rPh>
    <rPh sb="2" eb="4">
      <t>ホケン</t>
    </rPh>
    <rPh sb="4" eb="7">
      <t>シテイイ</t>
    </rPh>
    <phoneticPr fontId="8"/>
  </si>
  <si>
    <t>がん看護専門看護師</t>
    <rPh sb="2" eb="4">
      <t>カンゴ</t>
    </rPh>
    <rPh sb="4" eb="6">
      <t>センモン</t>
    </rPh>
    <rPh sb="6" eb="9">
      <t>カンゴシ</t>
    </rPh>
    <phoneticPr fontId="8"/>
  </si>
  <si>
    <t>回／週</t>
  </si>
  <si>
    <t>PCTメンバー・看護スタッフから気になる患者の情報を事前に聴取し、患者の苦痛の把握を行っている。病棟カンファレンスで情報共有し、症状緩和に関する薬物および非薬物的介入、環境調整などの助言を行う。カンファレンスでは、症状アセスメントに基づく薬物・非薬物療法の提案、予後予測を踏まえたケア調整、家族支援の方向性などを医師・病棟スタッフと共有している。</t>
    <rPh sb="8" eb="10">
      <t>カンゴ</t>
    </rPh>
    <rPh sb="16" eb="17">
      <t>キ</t>
    </rPh>
    <rPh sb="20" eb="22">
      <t>カンジャ</t>
    </rPh>
    <rPh sb="23" eb="25">
      <t>ジョウホウ</t>
    </rPh>
    <rPh sb="26" eb="28">
      <t>ジゼン</t>
    </rPh>
    <rPh sb="29" eb="31">
      <t>チョウシュ</t>
    </rPh>
    <rPh sb="33" eb="35">
      <t>カンジャ</t>
    </rPh>
    <rPh sb="36" eb="38">
      <t>クツウ</t>
    </rPh>
    <rPh sb="39" eb="41">
      <t>ハアク</t>
    </rPh>
    <rPh sb="42" eb="43">
      <t>オコナ</t>
    </rPh>
    <rPh sb="48" eb="50">
      <t>ビョウトウ</t>
    </rPh>
    <rPh sb="58" eb="60">
      <t>ジョウホウ</t>
    </rPh>
    <rPh sb="60" eb="62">
      <t>キョウユウ</t>
    </rPh>
    <rPh sb="64" eb="66">
      <t>ショウジョウ</t>
    </rPh>
    <rPh sb="66" eb="68">
      <t>カンワ</t>
    </rPh>
    <rPh sb="69" eb="70">
      <t>カン</t>
    </rPh>
    <rPh sb="72" eb="74">
      <t>ヤクブツ</t>
    </rPh>
    <rPh sb="77" eb="78">
      <t>ヒ</t>
    </rPh>
    <rPh sb="78" eb="81">
      <t>ヤクブツテキ</t>
    </rPh>
    <rPh sb="81" eb="83">
      <t>カイニュウ</t>
    </rPh>
    <rPh sb="84" eb="86">
      <t>カンキョウ</t>
    </rPh>
    <rPh sb="86" eb="88">
      <t>チョウセイ</t>
    </rPh>
    <rPh sb="91" eb="93">
      <t>ジョゲン</t>
    </rPh>
    <rPh sb="94" eb="95">
      <t>オコナ</t>
    </rPh>
    <phoneticPr fontId="8"/>
  </si>
  <si>
    <t>緩和ケアチーム看護師は、外来・病棟での苦痛把握と症状緩和の質向上を支援し、研修実施、ラウンドでの評価指導、症状スクリーニング支援、主治医との調整を行い、専門的緩和ケアへの早期介入を促している。</t>
  </si>
  <si>
    <t>就労に関する聞き取りを行い、必要に応じて大阪社労士会と連携し就労支援を行っている。
AYA世代のがん患者と家族のニーズを課題ごとに把握し患者・家族の個別性に合わせた支援につなげている</t>
  </si>
  <si>
    <t>医師、看護師、リハビリ、公認心理士、薬剤師、社会福祉士</t>
  </si>
  <si>
    <t>学会等の研修会への参加を励行している</t>
  </si>
  <si>
    <t>法人内の対応可能施設へ紹介し対応している。</t>
  </si>
  <si>
    <t>外来でがんと診断された時点で、就労支援に関するお気持ちをヒアリングし、労働状況・時間帯・通勤方法・相談相手・産業医の有無など、アセスメントしながら支援する他、当院独自の「がん治療と仕事の両立支援」のカードを配布するなど、がんの告知時より専門職において介入している。
治療が始まれば、手術・放射線・化学療法など治療内容の変更時や薬剤の変更時に就労について継続的にヒアリングを行っている。</t>
    <phoneticPr fontId="8"/>
  </si>
  <si>
    <t>がん化学療法の実施患者には初回のオリエンテーション時に説明、院内のアピアランスケアコーナーを設けて、
継続的に看護ケアを実施している、各種企業と連携し、パンフレットの提示と、患者が望めば、仲介なども実施し、院内に担当者を招くこともある。</t>
    <phoneticPr fontId="8"/>
  </si>
  <si>
    <t>高齢者総合機能評価は行っていない。</t>
  </si>
  <si>
    <t>実施</t>
  </si>
  <si>
    <t>必要</t>
  </si>
  <si>
    <t>未実施</t>
  </si>
  <si>
    <t>社労士・両立支援コーディネーター</t>
    <rPh sb="0" eb="3">
      <t>シャロウシ</t>
    </rPh>
    <rPh sb="4" eb="6">
      <t>リョウリツ</t>
    </rPh>
    <rPh sb="6" eb="8">
      <t>シエン</t>
    </rPh>
    <phoneticPr fontId="9"/>
  </si>
  <si>
    <t>外来化学療法室、がん相談支援センター</t>
    <rPh sb="0" eb="2">
      <t>ガイライ</t>
    </rPh>
    <rPh sb="2" eb="4">
      <t>カガク</t>
    </rPh>
    <rPh sb="4" eb="6">
      <t>リョウホウ</t>
    </rPh>
    <rPh sb="6" eb="7">
      <t>シツ</t>
    </rPh>
    <rPh sb="10" eb="12">
      <t>ソウダン</t>
    </rPh>
    <rPh sb="12" eb="14">
      <t>シエン</t>
    </rPh>
    <phoneticPr fontId="9"/>
  </si>
  <si>
    <t>がん相談・レディース外来・化学療法室</t>
    <rPh sb="2" eb="4">
      <t>ソウダン</t>
    </rPh>
    <rPh sb="10" eb="12">
      <t>ガイライ</t>
    </rPh>
    <rPh sb="13" eb="17">
      <t>カガクリョウホウ</t>
    </rPh>
    <rPh sb="17" eb="18">
      <t>シツ</t>
    </rPh>
    <phoneticPr fontId="9"/>
  </si>
  <si>
    <t>府中のぞみクリニック</t>
    <rPh sb="0" eb="2">
      <t>フチュウ</t>
    </rPh>
    <phoneticPr fontId="9"/>
  </si>
  <si>
    <t>　</t>
  </si>
  <si>
    <t>すべてのがん</t>
  </si>
  <si>
    <t>①堺市役所と堺市内のがん拠点病院が患者会「よりそい」に対して会員向けのイベント企画や会の運営支援を協働。　　　　　　　　　　　　　　　　　　　　　　②緩和ケア研修会の中で受講者（医師・関係職種）に対してがん患者・家族の立場での体験談を語って頂く協力を得ている。　　　　　　　　　　　　　　　　　　　　　　　　　　　　　　③病院の対象患者へ会報などで会を紹介し必要に応じ会へつないでいる。</t>
  </si>
  <si>
    <t>コロストーマとウロストーマ</t>
  </si>
  <si>
    <t>ストーマ外来</t>
    <rPh sb="4" eb="6">
      <t>ガイライ</t>
    </rPh>
    <phoneticPr fontId="104"/>
  </si>
  <si>
    <t>大腸がん、膀胱がん、消化管穿孔、肛門がん、子宮がん大腸浸潤・膀胱浸潤、クローン病</t>
  </si>
  <si>
    <t>リンパ浮腫外来</t>
  </si>
  <si>
    <t>乳腺センター</t>
  </si>
  <si>
    <t>対応していない</t>
  </si>
  <si>
    <t>専従</t>
  </si>
  <si>
    <t>専任</t>
  </si>
  <si>
    <t>中級認定者</t>
  </si>
  <si>
    <t>初級認定者（みなし含む）</t>
  </si>
  <si>
    <t>初級認定試験・受験なし</t>
  </si>
  <si>
    <t>臨床研究審査委員会</t>
  </si>
  <si>
    <t>臨床研究・治験</t>
    <rPh sb="0" eb="2">
      <t>リンショウ</t>
    </rPh>
    <rPh sb="2" eb="4">
      <t>ケンキュウ</t>
    </rPh>
    <rPh sb="5" eb="7">
      <t>チケン</t>
    </rPh>
    <phoneticPr fontId="8"/>
  </si>
  <si>
    <t>https://www.seichokai.or.jp/bell/about/rinsho/</t>
  </si>
  <si>
    <t>臨床試験専用の窓口がある</t>
  </si>
  <si>
    <t>治験専用の窓口がある</t>
  </si>
  <si>
    <t>臨床研究・治験</t>
  </si>
  <si>
    <t>その他（5割未満）</t>
  </si>
  <si>
    <t>専従（8割以上）</t>
  </si>
  <si>
    <t>薬剤師</t>
  </si>
  <si>
    <t>JQ医療安全管理者養成研修</t>
    <rPh sb="2" eb="4">
      <t>イリョウ</t>
    </rPh>
    <rPh sb="4" eb="6">
      <t>アンゼン</t>
    </rPh>
    <rPh sb="6" eb="8">
      <t>カンリ</t>
    </rPh>
    <rPh sb="8" eb="9">
      <t>シャ</t>
    </rPh>
    <rPh sb="9" eb="11">
      <t>ヨウセイ</t>
    </rPh>
    <rPh sb="11" eb="13">
      <t>ケンシュウ</t>
    </rPh>
    <phoneticPr fontId="8"/>
  </si>
  <si>
    <t>医療のための質マネジメント基礎講座</t>
    <rPh sb="0" eb="2">
      <t>イリョウ</t>
    </rPh>
    <rPh sb="6" eb="7">
      <t>シツ</t>
    </rPh>
    <rPh sb="13" eb="15">
      <t>キソ</t>
    </rPh>
    <rPh sb="15" eb="17">
      <t>コウザ</t>
    </rPh>
    <phoneticPr fontId="8"/>
  </si>
  <si>
    <t>医療安全管理者研修</t>
    <rPh sb="0" eb="2">
      <t>イリョウ</t>
    </rPh>
    <rPh sb="2" eb="4">
      <t>アンゼン</t>
    </rPh>
    <rPh sb="4" eb="6">
      <t>カンリ</t>
    </rPh>
    <rPh sb="6" eb="7">
      <t>シャ</t>
    </rPh>
    <rPh sb="7" eb="9">
      <t>ケンシュウ</t>
    </rPh>
    <phoneticPr fontId="8"/>
  </si>
  <si>
    <t>医療安全推進者養成講座</t>
    <rPh sb="0" eb="2">
      <t>イリョウ</t>
    </rPh>
    <rPh sb="2" eb="4">
      <t>アンゼン</t>
    </rPh>
    <rPh sb="4" eb="6">
      <t>スイシン</t>
    </rPh>
    <rPh sb="6" eb="7">
      <t>シャ</t>
    </rPh>
    <rPh sb="7" eb="9">
      <t>ヨウセイ</t>
    </rPh>
    <rPh sb="9" eb="11">
      <t>コウザ</t>
    </rPh>
    <phoneticPr fontId="8"/>
  </si>
  <si>
    <t>医療安全管理者養成講習会</t>
    <rPh sb="0" eb="2">
      <t>イリョウ</t>
    </rPh>
    <rPh sb="2" eb="4">
      <t>アンゼン</t>
    </rPh>
    <rPh sb="4" eb="6">
      <t>カンリ</t>
    </rPh>
    <rPh sb="6" eb="7">
      <t>シャ</t>
    </rPh>
    <rPh sb="7" eb="9">
      <t>ヨウセイ</t>
    </rPh>
    <rPh sb="9" eb="12">
      <t>コウシュウカイ</t>
    </rPh>
    <phoneticPr fontId="8"/>
  </si>
  <si>
    <t>日本医療機能評価機構</t>
    <rPh sb="0" eb="2">
      <t>ニホン</t>
    </rPh>
    <rPh sb="2" eb="4">
      <t>イリョウ</t>
    </rPh>
    <rPh sb="4" eb="6">
      <t>キノウ</t>
    </rPh>
    <rPh sb="6" eb="10">
      <t>ヒョウカキコウ</t>
    </rPh>
    <phoneticPr fontId="8"/>
  </si>
  <si>
    <t>日本品質管理学会</t>
    <rPh sb="0" eb="2">
      <t>ニホン</t>
    </rPh>
    <rPh sb="2" eb="4">
      <t>ヒンシツ</t>
    </rPh>
    <rPh sb="4" eb="6">
      <t>カンリ</t>
    </rPh>
    <rPh sb="6" eb="8">
      <t>ガッカイ</t>
    </rPh>
    <phoneticPr fontId="8"/>
  </si>
  <si>
    <t>大阪府看護協会</t>
    <rPh sb="0" eb="3">
      <t>オオサカフ</t>
    </rPh>
    <rPh sb="3" eb="5">
      <t>カンゴ</t>
    </rPh>
    <rPh sb="5" eb="7">
      <t>キョウカイ</t>
    </rPh>
    <phoneticPr fontId="8"/>
  </si>
  <si>
    <t>国立保健医療科学院</t>
    <rPh sb="0" eb="2">
      <t>コクリツ</t>
    </rPh>
    <rPh sb="2" eb="4">
      <t>ホケン</t>
    </rPh>
    <rPh sb="4" eb="6">
      <t>イリョウ</t>
    </rPh>
    <rPh sb="6" eb="8">
      <t>カガク</t>
    </rPh>
    <rPh sb="8" eb="9">
      <t>イン</t>
    </rPh>
    <phoneticPr fontId="8"/>
  </si>
  <si>
    <t>日本医師会</t>
    <rPh sb="0" eb="2">
      <t>ニホン</t>
    </rPh>
    <rPh sb="2" eb="5">
      <t>イシカイ</t>
    </rPh>
    <phoneticPr fontId="8"/>
  </si>
  <si>
    <t>日本病院会</t>
    <rPh sb="0" eb="2">
      <t>ニホン</t>
    </rPh>
    <rPh sb="2" eb="4">
      <t>ビョウイン</t>
    </rPh>
    <rPh sb="4" eb="5">
      <t>カイ</t>
    </rPh>
    <phoneticPr fontId="8"/>
  </si>
  <si>
    <t>平成18年3月</t>
    <rPh sb="0" eb="2">
      <t>ヘイセイ</t>
    </rPh>
    <rPh sb="4" eb="5">
      <t>ネン</t>
    </rPh>
    <rPh sb="6" eb="7">
      <t>ガツ</t>
    </rPh>
    <phoneticPr fontId="8"/>
  </si>
  <si>
    <t>日本医療機能評価機構
病院機能評価</t>
    <phoneticPr fontId="8"/>
  </si>
  <si>
    <t>令和5年11月14.15日</t>
    <rPh sb="0" eb="2">
      <t>レイワ</t>
    </rPh>
    <phoneticPr fontId="8"/>
  </si>
  <si>
    <t>連携体制を構築していない</t>
  </si>
  <si>
    <t>年2回</t>
    <rPh sb="0" eb="1">
      <t>ネン</t>
    </rPh>
    <rPh sb="2" eb="3">
      <t>カイ</t>
    </rPh>
    <phoneticPr fontId="8"/>
  </si>
  <si>
    <t>地域のがん診療に関する現状把握、課題共有、施設連携等</t>
    <rPh sb="0" eb="2">
      <t>チイキ</t>
    </rPh>
    <rPh sb="5" eb="7">
      <t>シンリョウ</t>
    </rPh>
    <rPh sb="8" eb="9">
      <t>カン</t>
    </rPh>
    <rPh sb="11" eb="13">
      <t>ゲンジョウ</t>
    </rPh>
    <rPh sb="13" eb="15">
      <t>ハアク</t>
    </rPh>
    <rPh sb="16" eb="18">
      <t>カダイ</t>
    </rPh>
    <rPh sb="18" eb="20">
      <t>キョウユウ</t>
    </rPh>
    <rPh sb="21" eb="23">
      <t>シセツ</t>
    </rPh>
    <rPh sb="23" eb="25">
      <t>レンケイ</t>
    </rPh>
    <rPh sb="25" eb="26">
      <t>ナド</t>
    </rPh>
    <phoneticPr fontId="8"/>
  </si>
  <si>
    <t>堺市医療圏がん診療ネットワーク協議会</t>
    <rPh sb="0" eb="2">
      <t>サカイシ</t>
    </rPh>
    <rPh sb="2" eb="4">
      <t>イリョウ</t>
    </rPh>
    <rPh sb="4" eb="5">
      <t>ケン</t>
    </rPh>
    <rPh sb="7" eb="9">
      <t>シンリョウ</t>
    </rPh>
    <rPh sb="15" eb="18">
      <t>キョウギカイ</t>
    </rPh>
    <phoneticPr fontId="8"/>
  </si>
  <si>
    <t>外来・病棟での治療説明時に、主治医・看護師より相談支援センターの役割と利用方法を案内し、早期からの相談利用を促進している。
院内掲示物を通じ、センターの場所・受付時間・相談内容を明示して周知を図っている。
緩和ケアチームや外来・病棟看護師と連携し、苦痛や療養上の課題が認められた患者に対して、適時利用を勧めている。</t>
  </si>
  <si>
    <t>相談終了時、次回面談時においてフィードバックを収集している。また、苦情・課題があった場合には、担当者が迅速に対応し、必要に応じて部署間で協議し改善を図っている。</t>
    <rPh sb="0" eb="2">
      <t>ソウダン</t>
    </rPh>
    <rPh sb="2" eb="4">
      <t>シュウリョウ</t>
    </rPh>
    <rPh sb="4" eb="5">
      <t>ジ</t>
    </rPh>
    <rPh sb="6" eb="8">
      <t>ジカイ</t>
    </rPh>
    <rPh sb="8" eb="10">
      <t>メンダン</t>
    </rPh>
    <rPh sb="10" eb="11">
      <t>ジ</t>
    </rPh>
    <rPh sb="23" eb="25">
      <t>シュウシュウ</t>
    </rPh>
    <phoneticPr fontId="9"/>
  </si>
  <si>
    <t>堺市がん患者と家族の会　　　　「よりそい」</t>
    <rPh sb="0" eb="2">
      <t>サカイシ</t>
    </rPh>
    <rPh sb="4" eb="6">
      <t>カンジャ</t>
    </rPh>
    <rPh sb="7" eb="9">
      <t>カゾク</t>
    </rPh>
    <rPh sb="10" eb="11">
      <t>カイ</t>
    </rPh>
    <phoneticPr fontId="9"/>
  </si>
  <si>
    <t>乳腺センター</t>
    <rPh sb="0" eb="2">
      <t>ニュウセン</t>
    </rPh>
    <phoneticPr fontId="42"/>
  </si>
  <si>
    <t>外科</t>
    <rPh sb="0" eb="2">
      <t>ゲカ</t>
    </rPh>
    <phoneticPr fontId="42"/>
  </si>
  <si>
    <t>いいえ</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</si>
</sst>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F800]dddd\,\ mmmm\ dd\,\ yyyy"/>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7">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31" fontId="14" fillId="5" borderId="1" xfId="0" applyNumberFormat="1" applyFont="1" applyFill="1" applyBorder="1" applyAlignment="1" applyProtection="1">
      <alignment horizontal="center" vertical="center" wrapText="1"/>
      <protection locked="0"/>
    </xf>
    <xf numFmtId="58" fontId="14" fillId="5" borderId="1" xfId="0" applyNumberFormat="1" applyFont="1" applyFill="1" applyBorder="1" applyAlignment="1" applyProtection="1">
      <alignment horizontal="center" vertical="center" wrapText="1"/>
      <protection locked="0"/>
    </xf>
    <xf numFmtId="187" fontId="14"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62" fillId="0" borderId="0" xfId="0" applyFont="1" applyAlignment="1">
      <alignment horizontal="left" vertical="center" wrapText="1"/>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206"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1" fillId="10" borderId="176"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0" xfId="0" applyFont="1" applyFill="1" applyBorder="1" applyAlignment="1">
      <alignment horizontal="left" vertical="center" wrapText="1"/>
    </xf>
    <xf numFmtId="0" fontId="13" fillId="2" borderId="201" xfId="0" applyFont="1" applyFill="1" applyBorder="1" applyAlignment="1">
      <alignment horizontal="left" vertical="center" wrapText="1"/>
    </xf>
    <xf numFmtId="0" fontId="13" fillId="2" borderId="193"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06"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2"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27"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2" borderId="0" xfId="0" applyFont="1" applyFill="1" applyAlignment="1">
      <alignment horizontal="left" vertical="top" wrapText="1"/>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42" fillId="14" borderId="28" xfId="9" applyFont="1" applyFill="1" applyBorder="1" applyAlignment="1" applyProtection="1">
      <alignment horizontal="left" vertical="top" wrapText="1"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42" fillId="14" borderId="28" xfId="9" applyFont="1"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230" xfId="0" applyFill="1" applyBorder="1" applyAlignment="1" applyProtection="1">
      <alignment horizontal="left" vertical="center" wrapText="1"/>
      <protection locked="0"/>
    </xf>
    <xf numFmtId="0" fontId="0" fillId="14" borderId="60" xfId="0" applyFill="1" applyBorder="1" applyAlignment="1" applyProtection="1">
      <alignment horizontal="left" vertical="center" wrapText="1"/>
      <protection locked="0"/>
    </xf>
    <xf numFmtId="0" fontId="0" fillId="14" borderId="52" xfId="0" applyFill="1" applyBorder="1" applyAlignment="1" applyProtection="1">
      <alignment horizontal="left" vertical="center" wrapText="1"/>
      <protection locked="0"/>
    </xf>
    <xf numFmtId="0" fontId="0" fillId="14" borderId="0" xfId="0" applyFill="1" applyAlignment="1" applyProtection="1">
      <alignment horizontal="left" vertical="center" wrapText="1"/>
      <protection locked="0"/>
    </xf>
    <xf numFmtId="0" fontId="0" fillId="14" borderId="61" xfId="0" applyFill="1" applyBorder="1" applyAlignment="1" applyProtection="1">
      <alignment horizontal="left" vertical="center" wrapText="1"/>
      <protection locked="0"/>
    </xf>
    <xf numFmtId="0" fontId="0" fillId="14" borderId="55" xfId="0" applyFill="1" applyBorder="1" applyAlignment="1" applyProtection="1">
      <alignment horizontal="left" vertical="center" wrapText="1"/>
      <protection locked="0"/>
    </xf>
    <xf numFmtId="0" fontId="0" fillId="14" borderId="14" xfId="0" applyFill="1" applyBorder="1" applyAlignment="1" applyProtection="1">
      <alignment horizontal="left" vertical="center" wrapText="1"/>
      <protection locked="0"/>
    </xf>
    <xf numFmtId="0" fontId="0" fillId="14" borderId="59" xfId="0" applyFill="1" applyBorder="1" applyAlignment="1" applyProtection="1">
      <alignment horizontal="left" vertical="center" wrapText="1"/>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96"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84"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31" borderId="0" xfId="0" applyFont="1" applyFill="1" applyAlignment="1">
      <alignment vertical="center" wrapText="1"/>
    </xf>
    <xf numFmtId="0" fontId="38"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17" xfId="0"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4" borderId="118" xfId="0" applyFill="1" applyBorder="1" applyAlignment="1" applyProtection="1">
      <alignment horizontal="center" vertical="center" wrapText="1"/>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5" borderId="227"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101" fillId="40"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62" fillId="0" borderId="1" xfId="9" applyFont="1" applyBorder="1" applyAlignment="1">
      <alignment horizontal="center" vertical="center" wrapText="1"/>
    </xf>
    <xf numFmtId="184" fontId="62"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6" t="s">
        <v>6</v>
      </c>
      <c r="X5" s="1207"/>
      <c r="Y5" s="1207"/>
      <c r="Z5" s="1207"/>
      <c r="AA5" s="1207"/>
      <c r="AB5" s="1207"/>
      <c r="AC5" s="120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堺市</v>
      </c>
      <c r="D7" s="58" t="str">
        <f>+'様式4（全般事項）'!H23</f>
        <v>堺市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1.4623655913978495</v>
      </c>
      <c r="X7" s="95">
        <f>'様式4（全般事項）'!R232/('様式4（全般事項）'!R231+'様式4（全般事項）'!R232)</f>
        <v>0.9042553191489362</v>
      </c>
      <c r="Y7" s="95">
        <f>'様式4（全般事項）'!R236/('様式4（全般事項）'!R235+'様式4（全般事項）'!R236)</f>
        <v>0.97826086956521741</v>
      </c>
      <c r="Z7" s="95">
        <f>'様式4（全般事項）'!R248/('様式4（全般事項）'!R247+'様式4（全般事項）'!R248)</f>
        <v>1</v>
      </c>
      <c r="AA7" s="95">
        <f>'様式4（全般事項）'!R252/('様式4（全般事項）'!R251+'様式4（全般事項）'!R252)</f>
        <v>0.41666666666666669</v>
      </c>
      <c r="AB7" s="95">
        <f>'様式4（全般事項）'!R258/('様式4（全般事項）'!R257+'様式4（全般事項）'!R258)</f>
        <v>0</v>
      </c>
      <c r="AC7" s="95">
        <f>'様式4（全般事項）'!R263/('様式4（全般事項）'!R262+'様式4（全般事項）'!R263)</f>
        <v>0.27272727272727271</v>
      </c>
      <c r="AD7" s="93" t="e">
        <f>+IF($H$7="地域がん診療病院",'様式４(機能別)'!#REF!,'様式４(機能別)'!J35)</f>
        <v>#REF!</v>
      </c>
      <c r="AE7" s="93" t="str">
        <f>'様式４(機能別)'!J36</f>
        <v>はい</v>
      </c>
      <c r="AF7" s="93" t="e">
        <f>'様式４(機能別)'!#REF!</f>
        <v>#REF!</v>
      </c>
      <c r="AG7" s="93">
        <f>'様式４(機能別)'!J143</f>
        <v>5</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0</v>
      </c>
      <c r="AR7" s="93">
        <f>'様式４(機能別)'!J195</f>
        <v>12</v>
      </c>
      <c r="AS7" s="93">
        <f>別紙11相談内容!C23</f>
        <v>16</v>
      </c>
      <c r="AT7" s="93" t="str">
        <f>別紙15専門外来!D22</f>
        <v>はい</v>
      </c>
      <c r="AU7" s="93" t="str">
        <f>別紙15専門外来!W15</f>
        <v>はい</v>
      </c>
      <c r="AV7" s="93">
        <f>'様式4（全般事項）'!R286+'様式4（全般事項）'!R287+'様式4（全般事項）'!R288</f>
        <v>141</v>
      </c>
      <c r="AW7" s="93">
        <f>別紙5緩和外来!U22</f>
        <v>84</v>
      </c>
      <c r="AX7" s="93">
        <f>別紙7地域緩和ケア連携体制!H7</f>
        <v>1</v>
      </c>
      <c r="AY7" s="93">
        <f>別紙5緩和外来!U25</f>
        <v>97</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842</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12</v>
      </c>
      <c r="BS7" s="93">
        <f>別紙11相談内容!F21</f>
        <v>2</v>
      </c>
      <c r="BT7" s="93">
        <f>別紙14連携協力体制!E7</f>
        <v>0</v>
      </c>
      <c r="BU7" s="93">
        <f>別紙11相談内容!C23</f>
        <v>16</v>
      </c>
      <c r="BV7" s="93" t="str">
        <f>別紙14連携協力体制!E28</f>
        <v>いいえ</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U25" sqref="U25:W2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5" t="s">
        <v>835</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53"/>
      <c r="Z1" s="53"/>
      <c r="AA1" s="53"/>
    </row>
    <row r="2" spans="1:28" ht="24.95" customHeight="1" thickTop="1" thickBot="1">
      <c r="A2" s="1334" t="s">
        <v>832</v>
      </c>
      <c r="B2" s="1334"/>
      <c r="C2" s="1334"/>
      <c r="D2" s="1334"/>
      <c r="E2" s="1334"/>
      <c r="F2" s="1334"/>
      <c r="G2" s="1334"/>
      <c r="H2" s="1334"/>
      <c r="I2" s="1334"/>
      <c r="J2" s="1334"/>
      <c r="K2" s="1334"/>
      <c r="L2" s="1334"/>
      <c r="M2" s="1334"/>
      <c r="N2" s="1334"/>
      <c r="O2" s="1334"/>
      <c r="P2" s="1334"/>
      <c r="Q2" s="1334"/>
      <c r="R2" s="1334"/>
      <c r="S2" s="1334"/>
      <c r="T2" s="1334"/>
      <c r="U2" s="1334"/>
      <c r="V2" s="1334"/>
      <c r="W2" s="1335"/>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36" t="str">
        <f>表紙!E2</f>
        <v>社会医療法人生長会　ベルランド総合病院</v>
      </c>
      <c r="G4" s="1336"/>
      <c r="H4" s="1336"/>
      <c r="I4" s="1336"/>
      <c r="J4" s="1336"/>
      <c r="K4" s="1336"/>
      <c r="L4" s="1336"/>
      <c r="M4" s="1337"/>
      <c r="N4" s="1337"/>
      <c r="O4" s="1337"/>
      <c r="P4" s="1337"/>
      <c r="Q4" s="1337"/>
      <c r="R4" s="1337"/>
      <c r="S4" s="1337"/>
      <c r="T4" s="1337"/>
      <c r="U4" s="1337"/>
      <c r="V4" s="1337"/>
      <c r="W4" s="1337"/>
      <c r="X4" s="1337"/>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1778</v>
      </c>
      <c r="Z6" s="8" t="str">
        <f>IF(X6&lt;&gt;"","○","×")</f>
        <v>○</v>
      </c>
      <c r="AB6" s="125"/>
    </row>
    <row r="7" spans="1:28" ht="27" customHeight="1" thickBot="1">
      <c r="A7" s="465">
        <v>2</v>
      </c>
      <c r="B7" s="1338" t="s">
        <v>837</v>
      </c>
      <c r="C7" s="1339"/>
      <c r="D7" s="1339"/>
      <c r="E7" s="1268" t="s">
        <v>1807</v>
      </c>
      <c r="F7" s="1340"/>
      <c r="G7" s="1340"/>
      <c r="H7" s="1340"/>
      <c r="I7" s="1340"/>
      <c r="J7" s="1340"/>
      <c r="K7" s="1340"/>
      <c r="L7" s="1340"/>
      <c r="M7" s="1340"/>
      <c r="N7" s="1340"/>
      <c r="O7" s="1340"/>
      <c r="P7" s="1340"/>
      <c r="Q7" s="1340"/>
      <c r="R7" s="1340"/>
      <c r="S7" s="1340"/>
      <c r="T7" s="1340"/>
      <c r="U7" s="1340"/>
      <c r="V7" s="1340"/>
      <c r="W7" s="1340"/>
      <c r="X7" s="1269"/>
      <c r="Z7" s="8" t="str">
        <f>IF(AND($X$6="はい",E7=""),"×","○")</f>
        <v>○</v>
      </c>
      <c r="AB7" s="74"/>
    </row>
    <row r="8" spans="1:28" ht="27" customHeight="1" thickBot="1">
      <c r="A8" s="465">
        <v>3</v>
      </c>
      <c r="B8" s="1341" t="s">
        <v>838</v>
      </c>
      <c r="C8" s="1342"/>
      <c r="D8" s="1342"/>
      <c r="E8" s="1268" t="s">
        <v>1808</v>
      </c>
      <c r="F8" s="1340"/>
      <c r="G8" s="1340"/>
      <c r="H8" s="1340"/>
      <c r="I8" s="1340"/>
      <c r="J8" s="1340"/>
      <c r="K8" s="1340"/>
      <c r="L8" s="1340"/>
      <c r="M8" s="1340"/>
      <c r="N8" s="1340"/>
      <c r="O8" s="1340"/>
      <c r="P8" s="1340"/>
      <c r="Q8" s="1340"/>
      <c r="R8" s="1340"/>
      <c r="S8" s="1340"/>
      <c r="T8" s="1340"/>
      <c r="U8" s="1340"/>
      <c r="V8" s="1340"/>
      <c r="W8" s="1340"/>
      <c r="X8" s="1269"/>
      <c r="Z8" s="8" t="str">
        <f>IF(AND($X$6="はい",E8=""),"×","○")</f>
        <v>○</v>
      </c>
      <c r="AB8" s="74"/>
    </row>
    <row r="9" spans="1:28" ht="27" customHeight="1" thickBot="1">
      <c r="A9" s="465">
        <v>4</v>
      </c>
      <c r="B9" s="1343" t="s">
        <v>839</v>
      </c>
      <c r="C9" s="1344"/>
      <c r="D9" s="1344"/>
      <c r="E9" s="1268" t="s">
        <v>1809</v>
      </c>
      <c r="F9" s="1340"/>
      <c r="G9" s="1340"/>
      <c r="H9" s="1340"/>
      <c r="I9" s="1340"/>
      <c r="J9" s="1340"/>
      <c r="K9" s="1340"/>
      <c r="L9" s="1340"/>
      <c r="M9" s="1340"/>
      <c r="N9" s="1340"/>
      <c r="O9" s="1340"/>
      <c r="P9" s="1340"/>
      <c r="Q9" s="1340"/>
      <c r="R9" s="1340"/>
      <c r="S9" s="1340"/>
      <c r="T9" s="1340"/>
      <c r="U9" s="1340"/>
      <c r="V9" s="1340"/>
      <c r="W9" s="1340"/>
      <c r="X9" s="1269"/>
      <c r="Z9" s="8" t="str">
        <f>IF(AND($X$6="はい",E9=""),"×","○")</f>
        <v>○</v>
      </c>
      <c r="AB9" s="74"/>
    </row>
    <row r="10" spans="1:28" ht="54" customHeight="1" thickBot="1">
      <c r="A10" s="465">
        <v>5</v>
      </c>
      <c r="B10" s="1345" t="s">
        <v>840</v>
      </c>
      <c r="C10" s="1346"/>
      <c r="D10" s="1346"/>
      <c r="E10" s="1268" t="s">
        <v>1810</v>
      </c>
      <c r="F10" s="1340"/>
      <c r="G10" s="1340"/>
      <c r="H10" s="1340"/>
      <c r="I10" s="1340"/>
      <c r="J10" s="1340"/>
      <c r="K10" s="1340"/>
      <c r="L10" s="1340"/>
      <c r="M10" s="1340"/>
      <c r="N10" s="1340"/>
      <c r="O10" s="1340"/>
      <c r="P10" s="1340"/>
      <c r="Q10" s="1340"/>
      <c r="R10" s="1340"/>
      <c r="S10" s="1340"/>
      <c r="T10" s="1340"/>
      <c r="U10" s="1340"/>
      <c r="V10" s="1340"/>
      <c r="W10" s="1340"/>
      <c r="X10" s="1269"/>
      <c r="Z10" s="8" t="str">
        <f>IF(AND($X$6="はい",E10=""),"×","○")</f>
        <v>○</v>
      </c>
      <c r="AB10" s="74"/>
    </row>
    <row r="11" spans="1:28" ht="26.25" customHeight="1" thickBot="1">
      <c r="A11" s="1347">
        <v>6</v>
      </c>
      <c r="B11" s="1349" t="s">
        <v>841</v>
      </c>
      <c r="C11" s="1350"/>
      <c r="D11" s="469" t="s">
        <v>842</v>
      </c>
      <c r="E11" s="1353" t="s">
        <v>1811</v>
      </c>
      <c r="F11" s="1354"/>
      <c r="G11" s="1354"/>
      <c r="H11" s="1354"/>
      <c r="I11" s="1354"/>
      <c r="J11" s="1354"/>
      <c r="K11" s="1354"/>
      <c r="L11" s="1354"/>
      <c r="M11" s="1354"/>
      <c r="N11" s="1354"/>
      <c r="O11" s="1354"/>
      <c r="P11" s="1354"/>
      <c r="Q11" s="1354"/>
      <c r="R11" s="1354"/>
      <c r="S11" s="1354"/>
      <c r="T11" s="1354"/>
      <c r="U11" s="1354"/>
      <c r="V11" s="1354"/>
      <c r="W11" s="1354"/>
      <c r="X11" s="1355"/>
      <c r="AB11" s="74"/>
    </row>
    <row r="12" spans="1:28" ht="54" customHeight="1" thickBot="1">
      <c r="A12" s="1348"/>
      <c r="B12" s="1351"/>
      <c r="C12" s="1352"/>
      <c r="D12" s="470" t="s">
        <v>843</v>
      </c>
      <c r="E12" s="1268" t="s">
        <v>1812</v>
      </c>
      <c r="F12" s="1340"/>
      <c r="G12" s="1340"/>
      <c r="H12" s="1340"/>
      <c r="I12" s="1340"/>
      <c r="J12" s="1340"/>
      <c r="K12" s="1340"/>
      <c r="L12" s="1340"/>
      <c r="M12" s="1340"/>
      <c r="N12" s="1340"/>
      <c r="O12" s="1340"/>
      <c r="P12" s="1340"/>
      <c r="Q12" s="1340"/>
      <c r="R12" s="1340"/>
      <c r="S12" s="1340"/>
      <c r="T12" s="1340"/>
      <c r="U12" s="1340"/>
      <c r="V12" s="1340"/>
      <c r="W12" s="1340"/>
      <c r="X12" s="1269"/>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1778</v>
      </c>
      <c r="Z13" s="8" t="str">
        <f>IF(AND($X$6="はい",X13=""),"×","○")</f>
        <v>○</v>
      </c>
      <c r="AB13" s="74"/>
    </row>
    <row r="14" spans="1:28" ht="24" customHeight="1" thickBot="1">
      <c r="A14" s="1356">
        <v>8</v>
      </c>
      <c r="B14" s="1359" t="s">
        <v>845</v>
      </c>
      <c r="C14" s="1360"/>
      <c r="D14" s="1360"/>
      <c r="E14" s="1361"/>
      <c r="F14" s="1361"/>
      <c r="G14" s="1361"/>
      <c r="H14" s="1361"/>
      <c r="I14" s="1361"/>
      <c r="J14" s="1361"/>
      <c r="K14" s="1361"/>
      <c r="L14" s="1361"/>
      <c r="M14" s="1361"/>
      <c r="N14" s="1361"/>
      <c r="O14" s="1361"/>
      <c r="P14" s="1361"/>
      <c r="Q14" s="1361"/>
      <c r="R14" s="1361"/>
      <c r="S14" s="1361"/>
      <c r="T14" s="1361"/>
      <c r="U14" s="1361"/>
      <c r="V14" s="1361"/>
      <c r="W14" s="1361"/>
      <c r="X14" s="37" t="s">
        <v>1778</v>
      </c>
      <c r="Z14" s="8" t="str">
        <f>IF(AND($X$6="はい",X14=""),"×","○")</f>
        <v>○</v>
      </c>
      <c r="AB14" s="74"/>
    </row>
    <row r="15" spans="1:28" ht="24" customHeight="1" thickBot="1">
      <c r="A15" s="1357"/>
      <c r="B15" s="1362" t="s">
        <v>846</v>
      </c>
      <c r="C15" s="1363"/>
      <c r="D15" s="1363"/>
      <c r="E15" s="1268" t="s">
        <v>1813</v>
      </c>
      <c r="F15" s="1340"/>
      <c r="G15" s="1340"/>
      <c r="H15" s="1340"/>
      <c r="I15" s="1340"/>
      <c r="J15" s="1340"/>
      <c r="K15" s="1340"/>
      <c r="L15" s="1340"/>
      <c r="M15" s="1340"/>
      <c r="N15" s="1340"/>
      <c r="O15" s="1340"/>
      <c r="P15" s="1340"/>
      <c r="Q15" s="1340"/>
      <c r="R15" s="1340"/>
      <c r="S15" s="1340"/>
      <c r="T15" s="1340"/>
      <c r="U15" s="1340"/>
      <c r="V15" s="1340"/>
      <c r="W15" s="1340"/>
      <c r="X15" s="1269"/>
      <c r="Z15" s="8" t="str">
        <f>IF(AND($X$14="はい",E15=""),"×","○")</f>
        <v>○</v>
      </c>
      <c r="AB15" s="74"/>
    </row>
    <row r="16" spans="1:28" ht="24" customHeight="1" thickBot="1">
      <c r="A16" s="1358"/>
      <c r="B16" s="1364" t="s">
        <v>847</v>
      </c>
      <c r="C16" s="1365"/>
      <c r="D16" s="1366"/>
      <c r="E16" s="1367" t="s">
        <v>1764</v>
      </c>
      <c r="F16" s="1368"/>
      <c r="G16" s="1368"/>
      <c r="H16" s="1368"/>
      <c r="I16" s="1368"/>
      <c r="J16" s="1368"/>
      <c r="K16" s="1368"/>
      <c r="L16" s="1368"/>
      <c r="M16" s="1368"/>
      <c r="N16" s="1369"/>
      <c r="O16" s="1370" t="s">
        <v>848</v>
      </c>
      <c r="P16" s="1371"/>
      <c r="Q16" s="1372"/>
      <c r="R16" s="1373"/>
      <c r="S16" s="1374"/>
      <c r="T16" s="1374"/>
      <c r="U16" s="1374"/>
      <c r="V16" s="1374"/>
      <c r="W16" s="1374"/>
      <c r="X16" s="1375"/>
      <c r="Z16" s="8" t="str">
        <f>IF(AND($X$14="はい",E16=""),"×","○")</f>
        <v>○</v>
      </c>
      <c r="AB16" s="74"/>
    </row>
    <row r="17" spans="1:30" ht="24" customHeight="1" thickBot="1">
      <c r="A17" s="1356">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1778</v>
      </c>
      <c r="Z17" s="8" t="str">
        <f>IF(AND($X$6="はい",X17=""),"×","○")</f>
        <v>○</v>
      </c>
      <c r="AB17" s="74"/>
    </row>
    <row r="18" spans="1:30" ht="24" customHeight="1" thickBot="1">
      <c r="A18" s="1357"/>
      <c r="B18" s="1362" t="s">
        <v>846</v>
      </c>
      <c r="C18" s="1363"/>
      <c r="D18" s="1376"/>
      <c r="E18" s="1268" t="s">
        <v>1814</v>
      </c>
      <c r="F18" s="1340"/>
      <c r="G18" s="1340"/>
      <c r="H18" s="1340"/>
      <c r="I18" s="1340"/>
      <c r="J18" s="1340"/>
      <c r="K18" s="1340"/>
      <c r="L18" s="1340"/>
      <c r="M18" s="1340"/>
      <c r="N18" s="1340"/>
      <c r="O18" s="1340"/>
      <c r="P18" s="1340"/>
      <c r="Q18" s="1340"/>
      <c r="R18" s="1340"/>
      <c r="S18" s="1340"/>
      <c r="T18" s="1340"/>
      <c r="U18" s="1340"/>
      <c r="V18" s="1340"/>
      <c r="W18" s="1340"/>
      <c r="X18" s="1269"/>
      <c r="Z18" s="8" t="str">
        <f>IF(AND($X$17="はい",E18=""),"×","○")</f>
        <v>○</v>
      </c>
      <c r="AB18" s="74"/>
    </row>
    <row r="19" spans="1:30" ht="24" customHeight="1" thickBot="1">
      <c r="A19" s="1357"/>
      <c r="B19" s="1364" t="s">
        <v>847</v>
      </c>
      <c r="C19" s="1365"/>
      <c r="D19" s="1366"/>
      <c r="E19" s="1377" t="s">
        <v>1764</v>
      </c>
      <c r="F19" s="1378"/>
      <c r="G19" s="1378"/>
      <c r="H19" s="1378"/>
      <c r="I19" s="1378"/>
      <c r="J19" s="1378"/>
      <c r="K19" s="1378"/>
      <c r="L19" s="1378"/>
      <c r="M19" s="1378"/>
      <c r="N19" s="1379"/>
      <c r="O19" s="1380" t="s">
        <v>848</v>
      </c>
      <c r="P19" s="1380"/>
      <c r="Q19" s="1380"/>
      <c r="R19" s="1373"/>
      <c r="S19" s="1374"/>
      <c r="T19" s="1374"/>
      <c r="U19" s="1374"/>
      <c r="V19" s="1374"/>
      <c r="W19" s="1374"/>
      <c r="X19" s="1375"/>
      <c r="Z19" s="8" t="str">
        <f>IF(AND($X$17="はい",E19=""),"×","○")</f>
        <v>○</v>
      </c>
      <c r="AB19" s="74"/>
    </row>
    <row r="20" spans="1:30" ht="24" customHeight="1" thickBot="1">
      <c r="A20" s="1358"/>
      <c r="B20" s="1381" t="s">
        <v>850</v>
      </c>
      <c r="C20" s="1382"/>
      <c r="D20" s="1383"/>
      <c r="E20" s="1268"/>
      <c r="F20" s="1340"/>
      <c r="G20" s="1340"/>
      <c r="H20" s="1340"/>
      <c r="I20" s="1340"/>
      <c r="J20" s="1340"/>
      <c r="K20" s="1340"/>
      <c r="L20" s="1340"/>
      <c r="M20" s="1340"/>
      <c r="N20" s="1340"/>
      <c r="O20" s="1340"/>
      <c r="P20" s="1340"/>
      <c r="Q20" s="1340"/>
      <c r="R20" s="1340"/>
      <c r="S20" s="1340"/>
      <c r="T20" s="1340"/>
      <c r="U20" s="1340"/>
      <c r="V20" s="1340"/>
      <c r="W20" s="1340"/>
      <c r="X20" s="1269"/>
      <c r="AB20" s="74"/>
    </row>
    <row r="21" spans="1:30" ht="24" customHeight="1">
      <c r="A21" s="1384">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85"/>
      <c r="B22" s="483"/>
      <c r="C22" s="484"/>
      <c r="D22" s="485"/>
      <c r="E22" s="486" t="s">
        <v>852</v>
      </c>
      <c r="F22" s="487"/>
      <c r="G22" s="487"/>
      <c r="H22" s="487"/>
      <c r="I22" s="487"/>
      <c r="J22" s="487"/>
      <c r="K22" s="487"/>
      <c r="L22" s="487"/>
      <c r="M22" s="487"/>
      <c r="N22" s="487"/>
      <c r="O22" s="487"/>
      <c r="P22" s="487"/>
      <c r="Q22" s="487"/>
      <c r="R22" s="487"/>
      <c r="S22" s="487"/>
      <c r="T22" s="488"/>
      <c r="U22" s="1387">
        <v>84</v>
      </c>
      <c r="V22" s="1388"/>
      <c r="W22" s="1389"/>
      <c r="X22" s="489" t="s">
        <v>349</v>
      </c>
      <c r="Y22" s="490"/>
      <c r="Z22" s="8" t="str">
        <f>IF(AND($X$6="はい",U22=""),"×","○")</f>
        <v>○</v>
      </c>
      <c r="AB22" s="74"/>
      <c r="AC22" s="491">
        <v>0</v>
      </c>
      <c r="AD22" s="491">
        <v>330</v>
      </c>
    </row>
    <row r="23" spans="1:30" ht="24" customHeight="1" thickBot="1">
      <c r="A23" s="1385"/>
      <c r="B23" s="483" t="s">
        <v>175</v>
      </c>
      <c r="C23" s="484"/>
      <c r="D23" s="485"/>
      <c r="E23" s="492" t="s">
        <v>853</v>
      </c>
      <c r="F23" s="493"/>
      <c r="G23" s="493"/>
      <c r="H23" s="493"/>
      <c r="I23" s="493"/>
      <c r="J23" s="493"/>
      <c r="K23" s="493"/>
      <c r="L23" s="493"/>
      <c r="M23" s="493"/>
      <c r="N23" s="493"/>
      <c r="O23" s="493"/>
      <c r="P23" s="493"/>
      <c r="Q23" s="493"/>
      <c r="R23" s="493"/>
      <c r="S23" s="493"/>
      <c r="T23" s="494"/>
      <c r="U23" s="1387">
        <v>1125</v>
      </c>
      <c r="V23" s="1388"/>
      <c r="W23" s="1389"/>
      <c r="X23" s="489" t="s">
        <v>349</v>
      </c>
      <c r="Z23" s="8" t="str">
        <f>IF(AND($X$6="はい",U23=""),"×","○")</f>
        <v>○</v>
      </c>
      <c r="AB23" s="74"/>
      <c r="AC23" s="491">
        <v>0</v>
      </c>
      <c r="AD23" s="491">
        <v>2400</v>
      </c>
    </row>
    <row r="24" spans="1:30" ht="24" customHeight="1">
      <c r="A24" s="1385"/>
      <c r="B24" s="495" t="s">
        <v>1684</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85"/>
      <c r="B25" s="483"/>
      <c r="C25" s="484"/>
      <c r="D25" s="485"/>
      <c r="E25" s="497" t="s">
        <v>855</v>
      </c>
      <c r="F25" s="498"/>
      <c r="G25" s="498"/>
      <c r="H25" s="498"/>
      <c r="I25" s="498"/>
      <c r="J25" s="498"/>
      <c r="K25" s="498"/>
      <c r="L25" s="498"/>
      <c r="M25" s="498"/>
      <c r="N25" s="498"/>
      <c r="O25" s="498"/>
      <c r="P25" s="498"/>
      <c r="Q25" s="498"/>
      <c r="R25" s="498"/>
      <c r="S25" s="498"/>
      <c r="T25" s="499"/>
      <c r="U25" s="1387">
        <v>97</v>
      </c>
      <c r="V25" s="1388"/>
      <c r="W25" s="1389"/>
      <c r="X25" s="489" t="s">
        <v>349</v>
      </c>
      <c r="Z25" s="8" t="str">
        <f t="shared" ref="Z25:Z26" si="0">IF(AND($X$6="はい",U25=""),"×","○")</f>
        <v>○</v>
      </c>
      <c r="AB25" s="74"/>
      <c r="AC25" s="491">
        <v>0</v>
      </c>
      <c r="AD25" s="500">
        <v>500</v>
      </c>
    </row>
    <row r="26" spans="1:30" ht="24" customHeight="1" thickBot="1">
      <c r="A26" s="1386"/>
      <c r="B26" s="501"/>
      <c r="C26" s="502"/>
      <c r="D26" s="503"/>
      <c r="E26" s="492" t="s">
        <v>856</v>
      </c>
      <c r="F26" s="504"/>
      <c r="G26" s="504"/>
      <c r="H26" s="504"/>
      <c r="I26" s="504"/>
      <c r="J26" s="504"/>
      <c r="K26" s="504"/>
      <c r="L26" s="504"/>
      <c r="M26" s="504"/>
      <c r="N26" s="504"/>
      <c r="O26" s="504"/>
      <c r="P26" s="504"/>
      <c r="Q26" s="504"/>
      <c r="R26" s="504"/>
      <c r="S26" s="504"/>
      <c r="T26" s="505"/>
      <c r="U26" s="1387">
        <v>165</v>
      </c>
      <c r="V26" s="1388"/>
      <c r="W26" s="1389"/>
      <c r="X26" s="506" t="s">
        <v>349</v>
      </c>
      <c r="Z26" s="8" t="str">
        <f t="shared" si="0"/>
        <v>○</v>
      </c>
      <c r="AB26" s="113"/>
      <c r="AC26" s="491">
        <v>0</v>
      </c>
      <c r="AD26" s="50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D40" sqref="D40:Y40"/>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5" t="s">
        <v>857</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3"/>
      <c r="AA1" s="97"/>
      <c r="AB1" s="53"/>
      <c r="AC1" s="17"/>
    </row>
    <row r="2" spans="1:31" ht="24.95" customHeight="1" thickTop="1" thickBot="1">
      <c r="A2" s="1334" t="s">
        <v>832</v>
      </c>
      <c r="B2" s="1334"/>
      <c r="C2" s="1334"/>
      <c r="D2" s="1334"/>
      <c r="E2" s="1334"/>
      <c r="F2" s="1334"/>
      <c r="G2" s="1334"/>
      <c r="H2" s="1334"/>
      <c r="I2" s="1334"/>
      <c r="J2" s="1334"/>
      <c r="K2" s="1334"/>
      <c r="L2" s="1334"/>
      <c r="M2" s="1334"/>
      <c r="N2" s="1334"/>
      <c r="O2" s="1334"/>
      <c r="P2" s="1334"/>
      <c r="Q2" s="1334"/>
      <c r="R2" s="1334"/>
      <c r="S2" s="1334"/>
      <c r="T2" s="1334"/>
      <c r="U2" s="1334"/>
      <c r="V2" s="1334"/>
      <c r="W2" s="1334"/>
      <c r="X2" s="1335"/>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390" t="str">
        <f>表紙!E2</f>
        <v>社会医療法人生長会　ベルランド総合病院</v>
      </c>
      <c r="H4" s="1391"/>
      <c r="I4" s="1391"/>
      <c r="J4" s="1391"/>
      <c r="K4" s="1391"/>
      <c r="L4" s="1391"/>
      <c r="M4" s="1391"/>
      <c r="N4" s="1391"/>
      <c r="O4" s="1391"/>
      <c r="P4" s="1391"/>
      <c r="Q4" s="1391"/>
      <c r="R4" s="1391"/>
      <c r="S4" s="1391"/>
      <c r="T4" s="1391"/>
      <c r="U4" s="1391"/>
      <c r="V4" s="1391"/>
      <c r="W4" s="1391"/>
      <c r="X4" s="1391"/>
      <c r="Y4" s="1392"/>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1404</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393" t="s">
        <v>858</v>
      </c>
      <c r="C7" s="1394"/>
      <c r="D7" s="1394"/>
      <c r="E7" s="1394"/>
      <c r="F7" s="1395" t="s">
        <v>1815</v>
      </c>
      <c r="G7" s="1396"/>
      <c r="H7" s="1396"/>
      <c r="I7" s="1396"/>
      <c r="J7" s="1396"/>
      <c r="K7" s="1396"/>
      <c r="L7" s="1396"/>
      <c r="M7" s="1396"/>
      <c r="N7" s="1396"/>
      <c r="O7" s="1397"/>
      <c r="P7" s="511"/>
      <c r="Q7" s="511"/>
      <c r="R7" s="511"/>
      <c r="S7" s="511"/>
      <c r="T7" s="511"/>
      <c r="U7" s="511"/>
      <c r="V7" s="511"/>
      <c r="W7" s="511"/>
      <c r="X7" s="511"/>
      <c r="Y7" s="512"/>
      <c r="AA7" s="427" t="str">
        <f>IF($F$7&lt;&gt;"","○","×")</f>
        <v>○</v>
      </c>
      <c r="AB7" s="427"/>
      <c r="AC7" s="126"/>
    </row>
    <row r="8" spans="1:31" ht="18" customHeight="1" thickBot="1">
      <c r="A8" s="510">
        <v>2</v>
      </c>
      <c r="B8" s="1393" t="s">
        <v>859</v>
      </c>
      <c r="C8" s="1394"/>
      <c r="D8" s="1394"/>
      <c r="E8" s="1394"/>
      <c r="F8" s="1398" t="s">
        <v>1816</v>
      </c>
      <c r="G8" s="1399"/>
      <c r="H8" s="1399"/>
      <c r="I8" s="1399"/>
      <c r="J8" s="1399"/>
      <c r="K8" s="1399"/>
      <c r="L8" s="1399"/>
      <c r="M8" s="1399"/>
      <c r="N8" s="1399"/>
      <c r="O8" s="1400"/>
      <c r="P8" s="387"/>
      <c r="Q8" s="387"/>
      <c r="R8" s="387"/>
      <c r="S8" s="387"/>
      <c r="T8" s="387"/>
      <c r="U8" s="387"/>
      <c r="V8" s="387"/>
      <c r="W8" s="387"/>
      <c r="X8" s="387"/>
      <c r="Y8" s="513"/>
      <c r="AA8" s="427" t="str">
        <f>IF(AND($F$7="病棟があります",F8=""),"×","○")</f>
        <v>○</v>
      </c>
      <c r="AB8" s="427"/>
      <c r="AC8" s="126"/>
    </row>
    <row r="9" spans="1:31" ht="18" customHeight="1" thickBot="1">
      <c r="A9" s="510">
        <v>3</v>
      </c>
      <c r="B9" s="1393" t="s">
        <v>860</v>
      </c>
      <c r="C9" s="1394"/>
      <c r="D9" s="1394"/>
      <c r="E9" s="1394"/>
      <c r="F9" s="1395" t="s">
        <v>1817</v>
      </c>
      <c r="G9" s="1396"/>
      <c r="H9" s="1396"/>
      <c r="I9" s="1396"/>
      <c r="J9" s="1396"/>
      <c r="K9" s="1396"/>
      <c r="L9" s="1396"/>
      <c r="M9" s="1396"/>
      <c r="N9" s="1396"/>
      <c r="O9" s="1397"/>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393" t="s">
        <v>861</v>
      </c>
      <c r="C10" s="1394"/>
      <c r="D10" s="1394"/>
      <c r="E10" s="1394"/>
      <c r="F10" s="288">
        <v>15</v>
      </c>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01">
        <v>5</v>
      </c>
      <c r="B11" s="1402" t="s">
        <v>863</v>
      </c>
      <c r="C11" s="1402"/>
      <c r="D11" s="1402"/>
      <c r="E11" s="1402"/>
      <c r="F11" s="1402"/>
      <c r="G11" s="1403"/>
      <c r="H11" s="1402"/>
      <c r="I11" s="1402"/>
      <c r="J11" s="1402"/>
      <c r="K11" s="1402"/>
      <c r="L11" s="1402"/>
      <c r="M11" s="1402"/>
      <c r="N11" s="1402"/>
      <c r="O11" s="1402"/>
      <c r="P11" s="1402"/>
      <c r="Q11" s="1402"/>
      <c r="R11" s="1402"/>
      <c r="S11" s="1402"/>
      <c r="T11" s="1402"/>
      <c r="U11" s="1402"/>
      <c r="V11" s="1404"/>
      <c r="W11" s="1421">
        <v>3</v>
      </c>
      <c r="X11" s="1422"/>
      <c r="Y11" s="489" t="s">
        <v>864</v>
      </c>
      <c r="Z11" s="515"/>
      <c r="AA11" s="427" t="str">
        <f>IF(AND($F$7="病棟があります",W11=""),"×","○")</f>
        <v>○</v>
      </c>
      <c r="AB11" s="427"/>
      <c r="AC11" s="126"/>
      <c r="AD11" s="516">
        <v>0</v>
      </c>
      <c r="AE11" s="491">
        <v>40</v>
      </c>
    </row>
    <row r="12" spans="1:31" ht="18" customHeight="1" thickBot="1">
      <c r="A12" s="1401"/>
      <c r="B12" s="1402" t="s">
        <v>1692</v>
      </c>
      <c r="C12" s="1402"/>
      <c r="D12" s="1402"/>
      <c r="E12" s="1402"/>
      <c r="F12" s="1402"/>
      <c r="G12" s="1402"/>
      <c r="H12" s="1402"/>
      <c r="I12" s="1402"/>
      <c r="J12" s="1402"/>
      <c r="K12" s="1402"/>
      <c r="L12" s="1402"/>
      <c r="M12" s="1402"/>
      <c r="N12" s="1402"/>
      <c r="O12" s="1402"/>
      <c r="P12" s="1402"/>
      <c r="Q12" s="1402"/>
      <c r="R12" s="1402"/>
      <c r="S12" s="1402"/>
      <c r="T12" s="1402"/>
      <c r="U12" s="1402"/>
      <c r="V12" s="1404"/>
      <c r="W12" s="1421">
        <v>165</v>
      </c>
      <c r="X12" s="1422"/>
      <c r="Y12" s="489" t="s">
        <v>232</v>
      </c>
      <c r="Z12" s="411"/>
      <c r="AA12" s="427" t="str">
        <f t="shared" ref="AA12:AA13" si="1">IF(AND($F$7="病棟があります",W12=""),"×","○")</f>
        <v>○</v>
      </c>
      <c r="AB12" s="427"/>
      <c r="AC12" s="126"/>
      <c r="AD12" s="516">
        <v>0</v>
      </c>
      <c r="AE12" s="491">
        <v>500</v>
      </c>
    </row>
    <row r="13" spans="1:31" ht="18" customHeight="1" thickBot="1">
      <c r="A13" s="1401"/>
      <c r="B13" s="1402" t="s">
        <v>1693</v>
      </c>
      <c r="C13" s="1402"/>
      <c r="D13" s="1402"/>
      <c r="E13" s="1402"/>
      <c r="F13" s="1402"/>
      <c r="G13" s="1419"/>
      <c r="H13" s="1419"/>
      <c r="I13" s="1419"/>
      <c r="J13" s="1419"/>
      <c r="K13" s="1419"/>
      <c r="L13" s="1419"/>
      <c r="M13" s="1419"/>
      <c r="N13" s="1419"/>
      <c r="O13" s="1419"/>
      <c r="P13" s="1419"/>
      <c r="Q13" s="1419"/>
      <c r="R13" s="1419"/>
      <c r="S13" s="1419"/>
      <c r="T13" s="1419"/>
      <c r="U13" s="1419"/>
      <c r="V13" s="1420"/>
      <c r="W13" s="1421">
        <v>107</v>
      </c>
      <c r="X13" s="1422"/>
      <c r="Y13" s="517" t="s">
        <v>232</v>
      </c>
      <c r="Z13" s="411"/>
      <c r="AA13" s="427" t="str">
        <f t="shared" si="1"/>
        <v>○</v>
      </c>
      <c r="AB13" s="427"/>
      <c r="AC13" s="126"/>
      <c r="AD13" s="516">
        <v>0</v>
      </c>
      <c r="AE13" s="491">
        <v>400</v>
      </c>
    </row>
    <row r="14" spans="1:31" ht="18" customHeight="1" thickBot="1">
      <c r="A14" s="1405">
        <v>6</v>
      </c>
      <c r="B14" s="1407" t="s">
        <v>865</v>
      </c>
      <c r="C14" s="1408"/>
      <c r="D14" s="1408"/>
      <c r="E14" s="1409"/>
      <c r="F14" s="518" t="s">
        <v>842</v>
      </c>
      <c r="G14" s="1413" t="s">
        <v>1818</v>
      </c>
      <c r="H14" s="1414"/>
      <c r="I14" s="1414"/>
      <c r="J14" s="1414"/>
      <c r="K14" s="1414"/>
      <c r="L14" s="1414"/>
      <c r="M14" s="1414"/>
      <c r="N14" s="1414"/>
      <c r="O14" s="1414"/>
      <c r="P14" s="1414"/>
      <c r="Q14" s="1414"/>
      <c r="R14" s="1414"/>
      <c r="S14" s="1414"/>
      <c r="T14" s="1414"/>
      <c r="U14" s="1414"/>
      <c r="V14" s="1414"/>
      <c r="W14" s="1414"/>
      <c r="X14" s="1414"/>
      <c r="Y14" s="1415"/>
      <c r="Z14" s="436"/>
      <c r="AA14" s="436"/>
      <c r="AB14" s="436"/>
      <c r="AC14" s="126"/>
    </row>
    <row r="15" spans="1:31" ht="40.5" customHeight="1" thickBot="1">
      <c r="A15" s="1406"/>
      <c r="B15" s="1410"/>
      <c r="C15" s="1411"/>
      <c r="D15" s="1411"/>
      <c r="E15" s="1412"/>
      <c r="F15" s="519" t="s">
        <v>866</v>
      </c>
      <c r="G15" s="1416" t="s">
        <v>1819</v>
      </c>
      <c r="H15" s="1417"/>
      <c r="I15" s="1417"/>
      <c r="J15" s="1417"/>
      <c r="K15" s="1417"/>
      <c r="L15" s="1417"/>
      <c r="M15" s="1417"/>
      <c r="N15" s="1417"/>
      <c r="O15" s="1417"/>
      <c r="P15" s="1417"/>
      <c r="Q15" s="1417"/>
      <c r="R15" s="1417"/>
      <c r="S15" s="1417"/>
      <c r="T15" s="1417"/>
      <c r="U15" s="1417"/>
      <c r="V15" s="1417"/>
      <c r="W15" s="1417"/>
      <c r="X15" s="1417"/>
      <c r="Y15" s="1418"/>
      <c r="Z15" s="436"/>
      <c r="AA15" s="436"/>
      <c r="AB15" s="436"/>
      <c r="AC15" s="126"/>
    </row>
    <row r="16" spans="1:31" ht="18" customHeight="1" thickBot="1">
      <c r="A16" s="1405">
        <v>7</v>
      </c>
      <c r="B16" s="1424" t="s">
        <v>867</v>
      </c>
      <c r="C16" s="1425"/>
      <c r="D16" s="1428" t="s">
        <v>868</v>
      </c>
      <c r="E16" s="1429"/>
      <c r="F16" s="1429"/>
      <c r="G16" s="1429"/>
      <c r="H16" s="1429"/>
      <c r="I16" s="1430"/>
      <c r="J16" s="520">
        <v>2</v>
      </c>
      <c r="K16" s="387"/>
      <c r="L16" s="1431" t="s">
        <v>869</v>
      </c>
      <c r="M16" s="1432"/>
      <c r="N16" s="1432"/>
      <c r="O16" s="1432"/>
      <c r="P16" s="1432"/>
      <c r="Q16" s="1432"/>
      <c r="R16" s="1432"/>
      <c r="S16" s="1432"/>
      <c r="T16" s="1432"/>
      <c r="U16" s="1432"/>
      <c r="V16" s="1432"/>
      <c r="W16" s="1433"/>
      <c r="X16" s="520">
        <v>1</v>
      </c>
      <c r="Y16" s="521"/>
      <c r="AC16" s="126"/>
    </row>
    <row r="17" spans="1:31" ht="18" customHeight="1" thickBot="1">
      <c r="A17" s="1423"/>
      <c r="B17" s="1426"/>
      <c r="C17" s="1427"/>
      <c r="D17" s="1434" t="s">
        <v>1820</v>
      </c>
      <c r="E17" s="1435"/>
      <c r="F17" s="1435"/>
      <c r="G17" s="1435"/>
      <c r="H17" s="1435"/>
      <c r="I17" s="1436"/>
      <c r="J17" s="288">
        <v>1</v>
      </c>
      <c r="K17" s="387"/>
      <c r="L17" s="1437"/>
      <c r="M17" s="1438"/>
      <c r="N17" s="1438"/>
      <c r="O17" s="1438"/>
      <c r="P17" s="1438"/>
      <c r="Q17" s="1438"/>
      <c r="R17" s="1438"/>
      <c r="S17" s="1438"/>
      <c r="T17" s="1438"/>
      <c r="U17" s="1438"/>
      <c r="V17" s="1438"/>
      <c r="W17" s="1439"/>
      <c r="X17" s="288"/>
      <c r="Y17" s="521"/>
      <c r="AA17" s="427" t="str">
        <f>IF(AND($F$7="病棟があります",OR(D17="",J17="")),"×","○")</f>
        <v>○</v>
      </c>
      <c r="AB17" s="427"/>
      <c r="AC17" s="126"/>
      <c r="AD17" s="491">
        <v>0</v>
      </c>
      <c r="AE17" s="500">
        <v>20</v>
      </c>
    </row>
    <row r="18" spans="1:31" ht="18" customHeight="1" thickBot="1">
      <c r="A18" s="1423"/>
      <c r="B18" s="1426"/>
      <c r="C18" s="1427"/>
      <c r="D18" s="1434" t="s">
        <v>1018</v>
      </c>
      <c r="E18" s="1435"/>
      <c r="F18" s="1435"/>
      <c r="G18" s="1435"/>
      <c r="H18" s="1435"/>
      <c r="I18" s="1436"/>
      <c r="J18" s="288">
        <v>15</v>
      </c>
      <c r="K18" s="387"/>
      <c r="L18" s="1437"/>
      <c r="M18" s="1438"/>
      <c r="N18" s="1438"/>
      <c r="O18" s="1438"/>
      <c r="P18" s="1438"/>
      <c r="Q18" s="1438"/>
      <c r="R18" s="1438"/>
      <c r="S18" s="1438"/>
      <c r="T18" s="1438"/>
      <c r="U18" s="1438"/>
      <c r="V18" s="1438"/>
      <c r="W18" s="1439"/>
      <c r="X18" s="288"/>
      <c r="Y18" s="521"/>
      <c r="AC18" s="126"/>
      <c r="AD18" s="491">
        <v>0</v>
      </c>
      <c r="AE18" s="500">
        <v>20</v>
      </c>
    </row>
    <row r="19" spans="1:31" ht="18" customHeight="1" thickBot="1">
      <c r="A19" s="1423"/>
      <c r="B19" s="1426"/>
      <c r="C19" s="1427"/>
      <c r="D19" s="1434" t="s">
        <v>241</v>
      </c>
      <c r="E19" s="1435"/>
      <c r="F19" s="1435"/>
      <c r="G19" s="1435"/>
      <c r="H19" s="1435"/>
      <c r="I19" s="1436"/>
      <c r="J19" s="288">
        <v>1</v>
      </c>
      <c r="K19" s="387"/>
      <c r="L19" s="1437"/>
      <c r="M19" s="1438"/>
      <c r="N19" s="1438"/>
      <c r="O19" s="1438"/>
      <c r="P19" s="1438"/>
      <c r="Q19" s="1438"/>
      <c r="R19" s="1438"/>
      <c r="S19" s="1438"/>
      <c r="T19" s="1438"/>
      <c r="U19" s="1438"/>
      <c r="V19" s="1438"/>
      <c r="W19" s="1439"/>
      <c r="X19" s="288"/>
      <c r="Y19" s="521"/>
      <c r="AC19" s="126"/>
      <c r="AD19" s="491">
        <v>0</v>
      </c>
      <c r="AE19" s="500">
        <v>20</v>
      </c>
    </row>
    <row r="20" spans="1:31" ht="18" customHeight="1" thickBot="1">
      <c r="A20" s="1423"/>
      <c r="B20" s="1426"/>
      <c r="C20" s="1427"/>
      <c r="D20" s="1434" t="s">
        <v>1821</v>
      </c>
      <c r="E20" s="1435"/>
      <c r="F20" s="1435"/>
      <c r="G20" s="1435"/>
      <c r="H20" s="1435"/>
      <c r="I20" s="1436"/>
      <c r="J20" s="288">
        <v>1</v>
      </c>
      <c r="K20" s="387"/>
      <c r="L20" s="1437"/>
      <c r="M20" s="1438"/>
      <c r="N20" s="1438"/>
      <c r="O20" s="1438"/>
      <c r="P20" s="1438"/>
      <c r="Q20" s="1438"/>
      <c r="R20" s="1438"/>
      <c r="S20" s="1438"/>
      <c r="T20" s="1438"/>
      <c r="U20" s="1438"/>
      <c r="V20" s="1438"/>
      <c r="W20" s="1439"/>
      <c r="X20" s="288"/>
      <c r="Y20" s="521"/>
      <c r="AC20" s="126"/>
      <c r="AD20" s="491">
        <v>0</v>
      </c>
      <c r="AE20" s="500">
        <v>20</v>
      </c>
    </row>
    <row r="21" spans="1:31" ht="18" customHeight="1" thickBot="1">
      <c r="A21" s="1423"/>
      <c r="B21" s="1426"/>
      <c r="C21" s="1427"/>
      <c r="D21" s="1434" t="s">
        <v>1822</v>
      </c>
      <c r="E21" s="1435"/>
      <c r="F21" s="1435"/>
      <c r="G21" s="1435"/>
      <c r="H21" s="1435"/>
      <c r="I21" s="1436"/>
      <c r="J21" s="288">
        <v>1</v>
      </c>
      <c r="K21" s="387"/>
      <c r="L21" s="1437"/>
      <c r="M21" s="1438"/>
      <c r="N21" s="1438"/>
      <c r="O21" s="1438"/>
      <c r="P21" s="1438"/>
      <c r="Q21" s="1438"/>
      <c r="R21" s="1438"/>
      <c r="S21" s="1438"/>
      <c r="T21" s="1438"/>
      <c r="U21" s="1438"/>
      <c r="V21" s="1438"/>
      <c r="W21" s="1439"/>
      <c r="X21" s="288"/>
      <c r="Y21" s="521"/>
      <c r="AC21" s="126"/>
      <c r="AD21" s="491">
        <v>0</v>
      </c>
      <c r="AE21" s="500">
        <v>20</v>
      </c>
    </row>
    <row r="22" spans="1:31" ht="18" customHeight="1" thickBot="1">
      <c r="A22" s="1423"/>
      <c r="B22" s="1426"/>
      <c r="C22" s="1427"/>
      <c r="D22" s="1434" t="s">
        <v>1823</v>
      </c>
      <c r="E22" s="1435"/>
      <c r="F22" s="1435"/>
      <c r="G22" s="1435"/>
      <c r="H22" s="1435"/>
      <c r="I22" s="1436"/>
      <c r="J22" s="288">
        <v>1</v>
      </c>
      <c r="K22" s="387"/>
      <c r="L22" s="1437"/>
      <c r="M22" s="1438"/>
      <c r="N22" s="1438"/>
      <c r="O22" s="1438"/>
      <c r="P22" s="1438"/>
      <c r="Q22" s="1438"/>
      <c r="R22" s="1438"/>
      <c r="S22" s="1438"/>
      <c r="T22" s="1438"/>
      <c r="U22" s="1438"/>
      <c r="V22" s="1438"/>
      <c r="W22" s="1439"/>
      <c r="X22" s="288"/>
      <c r="Y22" s="521"/>
      <c r="AC22" s="126"/>
      <c r="AD22" s="491">
        <v>0</v>
      </c>
      <c r="AE22" s="500">
        <v>20</v>
      </c>
    </row>
    <row r="23" spans="1:31" ht="18" customHeight="1" thickBot="1">
      <c r="A23" s="1423"/>
      <c r="B23" s="1426"/>
      <c r="C23" s="1427"/>
      <c r="D23" s="1434" t="s">
        <v>1824</v>
      </c>
      <c r="E23" s="1435"/>
      <c r="F23" s="1435"/>
      <c r="G23" s="1435"/>
      <c r="H23" s="1435"/>
      <c r="I23" s="1436"/>
      <c r="J23" s="288">
        <v>1</v>
      </c>
      <c r="K23" s="387"/>
      <c r="L23" s="1437"/>
      <c r="M23" s="1438"/>
      <c r="N23" s="1438"/>
      <c r="O23" s="1438"/>
      <c r="P23" s="1438"/>
      <c r="Q23" s="1438"/>
      <c r="R23" s="1438"/>
      <c r="S23" s="1438"/>
      <c r="T23" s="1438"/>
      <c r="U23" s="1438"/>
      <c r="V23" s="1438"/>
      <c r="W23" s="1439"/>
      <c r="X23" s="288"/>
      <c r="Y23" s="521"/>
      <c r="AC23" s="126"/>
      <c r="AD23" s="491">
        <v>0</v>
      </c>
      <c r="AE23" s="500">
        <v>20</v>
      </c>
    </row>
    <row r="24" spans="1:31" ht="18" customHeight="1" thickBot="1">
      <c r="A24" s="1423"/>
      <c r="B24" s="1426"/>
      <c r="C24" s="1427"/>
      <c r="D24" s="1434" t="s">
        <v>1825</v>
      </c>
      <c r="E24" s="1435"/>
      <c r="F24" s="1435"/>
      <c r="G24" s="1435"/>
      <c r="H24" s="1435"/>
      <c r="I24" s="1436"/>
      <c r="J24" s="288">
        <v>3</v>
      </c>
      <c r="K24" s="387"/>
      <c r="L24" s="1437"/>
      <c r="M24" s="1438"/>
      <c r="N24" s="1438"/>
      <c r="O24" s="1438"/>
      <c r="P24" s="1438"/>
      <c r="Q24" s="1438"/>
      <c r="R24" s="1438"/>
      <c r="S24" s="1438"/>
      <c r="T24" s="1438"/>
      <c r="U24" s="1438"/>
      <c r="V24" s="1438"/>
      <c r="W24" s="1439"/>
      <c r="X24" s="288"/>
      <c r="Y24" s="521"/>
      <c r="AC24" s="126"/>
      <c r="AD24" s="491">
        <v>0</v>
      </c>
      <c r="AE24" s="500">
        <v>20</v>
      </c>
    </row>
    <row r="25" spans="1:31" ht="18" customHeight="1" thickBot="1">
      <c r="A25" s="1423"/>
      <c r="B25" s="1426"/>
      <c r="C25" s="1427"/>
      <c r="D25" s="1434"/>
      <c r="E25" s="1435"/>
      <c r="F25" s="1435"/>
      <c r="G25" s="1435"/>
      <c r="H25" s="1435"/>
      <c r="I25" s="1436"/>
      <c r="J25" s="288"/>
      <c r="K25" s="387"/>
      <c r="L25" s="1437"/>
      <c r="M25" s="1438"/>
      <c r="N25" s="1438"/>
      <c r="O25" s="1438"/>
      <c r="P25" s="1438"/>
      <c r="Q25" s="1438"/>
      <c r="R25" s="1438"/>
      <c r="S25" s="1438"/>
      <c r="T25" s="1438"/>
      <c r="U25" s="1438"/>
      <c r="V25" s="1438"/>
      <c r="W25" s="1439"/>
      <c r="X25" s="288"/>
      <c r="Y25" s="521"/>
      <c r="AC25" s="126"/>
      <c r="AD25" s="491">
        <v>0</v>
      </c>
      <c r="AE25" s="500">
        <v>20</v>
      </c>
    </row>
    <row r="26" spans="1:31" ht="18" customHeight="1" thickBot="1">
      <c r="A26" s="1406"/>
      <c r="B26" s="1410"/>
      <c r="C26" s="1411"/>
      <c r="D26" s="1434"/>
      <c r="E26" s="1435"/>
      <c r="F26" s="1435"/>
      <c r="G26" s="1435"/>
      <c r="H26" s="1435"/>
      <c r="I26" s="1436"/>
      <c r="J26" s="288"/>
      <c r="K26" s="522"/>
      <c r="L26" s="1440"/>
      <c r="M26" s="1441"/>
      <c r="N26" s="1441"/>
      <c r="O26" s="1441"/>
      <c r="P26" s="1441"/>
      <c r="Q26" s="1441"/>
      <c r="R26" s="1441"/>
      <c r="S26" s="1441"/>
      <c r="T26" s="1441"/>
      <c r="U26" s="1441"/>
      <c r="V26" s="1441"/>
      <c r="W26" s="1442"/>
      <c r="X26" s="288"/>
      <c r="Y26" s="521"/>
      <c r="AC26" s="126"/>
      <c r="AD26" s="491">
        <v>0</v>
      </c>
      <c r="AE26" s="500">
        <v>20</v>
      </c>
    </row>
    <row r="27" spans="1:31" ht="18" customHeight="1" thickBot="1">
      <c r="A27" s="1449">
        <v>8</v>
      </c>
      <c r="B27" s="1450" t="s">
        <v>845</v>
      </c>
      <c r="C27" s="1451"/>
      <c r="D27" s="1452"/>
      <c r="E27" s="1452"/>
      <c r="F27" s="1427"/>
      <c r="G27" s="1427"/>
      <c r="H27" s="1427"/>
      <c r="I27" s="1427"/>
      <c r="J27" s="1427"/>
      <c r="K27" s="1427"/>
      <c r="L27" s="1427"/>
      <c r="M27" s="1427"/>
      <c r="N27" s="1427"/>
      <c r="O27" s="1427"/>
      <c r="P27" s="1427"/>
      <c r="Q27" s="1427"/>
      <c r="R27" s="1427"/>
      <c r="S27" s="1427"/>
      <c r="T27" s="1427"/>
      <c r="U27" s="1427"/>
      <c r="V27" s="1427"/>
      <c r="W27" s="1427"/>
      <c r="X27" s="1427"/>
      <c r="Y27" s="37" t="s">
        <v>1778</v>
      </c>
      <c r="AA27" s="427" t="str">
        <f>IF(AND($F$7="病棟があります",Y27=""),"×","○")</f>
        <v>○</v>
      </c>
      <c r="AB27" s="427"/>
      <c r="AC27" s="126"/>
    </row>
    <row r="28" spans="1:31" ht="18" customHeight="1" thickBot="1">
      <c r="A28" s="1357"/>
      <c r="B28" s="1453" t="s">
        <v>846</v>
      </c>
      <c r="C28" s="1454"/>
      <c r="D28" s="1454"/>
      <c r="E28" s="1454"/>
      <c r="F28" s="1455" t="s">
        <v>663</v>
      </c>
      <c r="G28" s="1456"/>
      <c r="H28" s="1456"/>
      <c r="I28" s="1456"/>
      <c r="J28" s="1456"/>
      <c r="K28" s="1456"/>
      <c r="L28" s="1456"/>
      <c r="M28" s="1456"/>
      <c r="N28" s="1456"/>
      <c r="O28" s="1456"/>
      <c r="P28" s="1456"/>
      <c r="Q28" s="1456"/>
      <c r="R28" s="1456"/>
      <c r="S28" s="1456"/>
      <c r="T28" s="1456"/>
      <c r="U28" s="1456"/>
      <c r="V28" s="1456"/>
      <c r="W28" s="1456"/>
      <c r="X28" s="1456"/>
      <c r="Y28" s="1457"/>
      <c r="AA28" s="427" t="str">
        <f>IF(AND($Y$27="はい",F28=""),"×","○")</f>
        <v>○</v>
      </c>
      <c r="AB28" s="427"/>
      <c r="AC28" s="126"/>
    </row>
    <row r="29" spans="1:31" ht="18" customHeight="1" thickBot="1">
      <c r="A29" s="1357"/>
      <c r="B29" s="1453" t="s">
        <v>847</v>
      </c>
      <c r="C29" s="1458"/>
      <c r="D29" s="1458"/>
      <c r="E29" s="1459"/>
      <c r="F29" s="1455" t="s">
        <v>1764</v>
      </c>
      <c r="G29" s="1456"/>
      <c r="H29" s="1456"/>
      <c r="I29" s="1456"/>
      <c r="J29" s="1456"/>
      <c r="K29" s="1456"/>
      <c r="L29" s="1456"/>
      <c r="M29" s="1456"/>
      <c r="N29" s="1456"/>
      <c r="O29" s="1457"/>
      <c r="P29" s="1380" t="s">
        <v>848</v>
      </c>
      <c r="Q29" s="1380"/>
      <c r="R29" s="1380"/>
      <c r="S29" s="1446"/>
      <c r="T29" s="1447"/>
      <c r="U29" s="1447"/>
      <c r="V29" s="1447"/>
      <c r="W29" s="1447"/>
      <c r="X29" s="1447"/>
      <c r="Y29" s="1448"/>
      <c r="AA29" s="427"/>
      <c r="AB29" s="427"/>
      <c r="AC29" s="126"/>
    </row>
    <row r="30" spans="1:31" ht="18" customHeight="1" thickBot="1">
      <c r="A30" s="1357"/>
      <c r="B30" s="1460" t="s">
        <v>870</v>
      </c>
      <c r="C30" s="1461"/>
      <c r="D30" s="1461"/>
      <c r="E30" s="1462"/>
      <c r="F30" s="518" t="s">
        <v>842</v>
      </c>
      <c r="G30" s="1443" t="s">
        <v>663</v>
      </c>
      <c r="H30" s="1444"/>
      <c r="I30" s="1444"/>
      <c r="J30" s="1444"/>
      <c r="K30" s="1444"/>
      <c r="L30" s="1444"/>
      <c r="M30" s="1444"/>
      <c r="N30" s="1444"/>
      <c r="O30" s="1444"/>
      <c r="P30" s="1444"/>
      <c r="Q30" s="1444"/>
      <c r="R30" s="1444"/>
      <c r="S30" s="1444"/>
      <c r="T30" s="1444"/>
      <c r="U30" s="1444"/>
      <c r="V30" s="1444"/>
      <c r="W30" s="1444"/>
      <c r="X30" s="1444"/>
      <c r="Y30" s="1445"/>
      <c r="AC30" s="126"/>
    </row>
    <row r="31" spans="1:31" ht="18" customHeight="1" thickBot="1">
      <c r="A31" s="1358"/>
      <c r="B31" s="1463"/>
      <c r="C31" s="1464"/>
      <c r="D31" s="1464"/>
      <c r="E31" s="1465"/>
      <c r="F31" s="519" t="s">
        <v>866</v>
      </c>
      <c r="G31" s="1416" t="s">
        <v>1826</v>
      </c>
      <c r="H31" s="1417"/>
      <c r="I31" s="1417"/>
      <c r="J31" s="1417"/>
      <c r="K31" s="1417"/>
      <c r="L31" s="1417"/>
      <c r="M31" s="1417"/>
      <c r="N31" s="1417"/>
      <c r="O31" s="1417"/>
      <c r="P31" s="1417"/>
      <c r="Q31" s="1417"/>
      <c r="R31" s="1417"/>
      <c r="S31" s="1417"/>
      <c r="T31" s="1417"/>
      <c r="U31" s="1417"/>
      <c r="V31" s="1417"/>
      <c r="W31" s="1417"/>
      <c r="X31" s="1417"/>
      <c r="Y31" s="1418"/>
      <c r="AC31" s="126"/>
    </row>
    <row r="32" spans="1:31" ht="35.25" customHeight="1" thickBot="1">
      <c r="A32" s="1449">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t="s">
        <v>1778</v>
      </c>
      <c r="AA32" s="427" t="str">
        <f>IF(AND($F$7="病棟があります",Y32=""),"×","○")</f>
        <v>○</v>
      </c>
      <c r="AB32" s="427"/>
      <c r="AC32" s="126"/>
    </row>
    <row r="33" spans="1:29" ht="18" customHeight="1" thickBot="1">
      <c r="A33" s="1357"/>
      <c r="B33" s="1453" t="s">
        <v>846</v>
      </c>
      <c r="C33" s="1454"/>
      <c r="D33" s="1454"/>
      <c r="E33" s="1454"/>
      <c r="F33" s="1455" t="s">
        <v>1814</v>
      </c>
      <c r="G33" s="1456"/>
      <c r="H33" s="1456"/>
      <c r="I33" s="1456"/>
      <c r="J33" s="1456"/>
      <c r="K33" s="1456"/>
      <c r="L33" s="1456"/>
      <c r="M33" s="1456"/>
      <c r="N33" s="1456"/>
      <c r="O33" s="1456"/>
      <c r="P33" s="1456"/>
      <c r="Q33" s="1456"/>
      <c r="R33" s="1456"/>
      <c r="S33" s="1456"/>
      <c r="T33" s="1456"/>
      <c r="U33" s="1456"/>
      <c r="V33" s="1456"/>
      <c r="W33" s="1456"/>
      <c r="X33" s="1456"/>
      <c r="Y33" s="1484"/>
      <c r="AA33" s="427" t="str">
        <f>IF(AND($Y$32="はい",F33=""),"×","○")</f>
        <v>○</v>
      </c>
      <c r="AB33" s="427"/>
      <c r="AC33" s="126"/>
    </row>
    <row r="34" spans="1:29" ht="18" customHeight="1" thickBot="1">
      <c r="A34" s="1357"/>
      <c r="B34" s="1453" t="s">
        <v>847</v>
      </c>
      <c r="C34" s="1458"/>
      <c r="D34" s="1458"/>
      <c r="E34" s="1459"/>
      <c r="F34" s="1455" t="s">
        <v>1764</v>
      </c>
      <c r="G34" s="1456"/>
      <c r="H34" s="1456"/>
      <c r="I34" s="1456"/>
      <c r="J34" s="1456"/>
      <c r="K34" s="1456"/>
      <c r="L34" s="1456"/>
      <c r="M34" s="1456"/>
      <c r="N34" s="1456"/>
      <c r="O34" s="1457"/>
      <c r="P34" s="1380" t="s">
        <v>848</v>
      </c>
      <c r="Q34" s="1380"/>
      <c r="R34" s="1380"/>
      <c r="S34" s="1446"/>
      <c r="T34" s="1447"/>
      <c r="U34" s="1447"/>
      <c r="V34" s="1447"/>
      <c r="W34" s="1447"/>
      <c r="X34" s="1447"/>
      <c r="Y34" s="1448"/>
      <c r="AC34" s="126"/>
    </row>
    <row r="35" spans="1:29" ht="18" customHeight="1" thickBot="1">
      <c r="A35" s="1357"/>
      <c r="B35" s="1471" t="s">
        <v>870</v>
      </c>
      <c r="C35" s="1472"/>
      <c r="D35" s="1472"/>
      <c r="E35" s="1473"/>
      <c r="F35" s="518" t="s">
        <v>842</v>
      </c>
      <c r="G35" s="1477" t="s">
        <v>1827</v>
      </c>
      <c r="H35" s="1477"/>
      <c r="I35" s="1477"/>
      <c r="J35" s="1477"/>
      <c r="K35" s="1477"/>
      <c r="L35" s="1477"/>
      <c r="M35" s="1477"/>
      <c r="N35" s="1477"/>
      <c r="O35" s="1477"/>
      <c r="P35" s="1477"/>
      <c r="Q35" s="1477"/>
      <c r="R35" s="1477"/>
      <c r="S35" s="1477"/>
      <c r="T35" s="1477"/>
      <c r="U35" s="1477"/>
      <c r="V35" s="1477"/>
      <c r="W35" s="1477"/>
      <c r="X35" s="1477"/>
      <c r="Y35" s="1477"/>
      <c r="AC35" s="126"/>
    </row>
    <row r="36" spans="1:29" ht="18" customHeight="1" thickBot="1">
      <c r="A36" s="1358"/>
      <c r="B36" s="1474"/>
      <c r="C36" s="1475"/>
      <c r="D36" s="1475"/>
      <c r="E36" s="1476"/>
      <c r="F36" s="519" t="s">
        <v>866</v>
      </c>
      <c r="G36" s="1478" t="s">
        <v>1828</v>
      </c>
      <c r="H36" s="1478"/>
      <c r="I36" s="1478"/>
      <c r="J36" s="1478"/>
      <c r="K36" s="1478"/>
      <c r="L36" s="1478"/>
      <c r="M36" s="1478"/>
      <c r="N36" s="1478"/>
      <c r="O36" s="1478"/>
      <c r="P36" s="1478"/>
      <c r="Q36" s="1478"/>
      <c r="R36" s="1478"/>
      <c r="S36" s="1478"/>
      <c r="T36" s="1478"/>
      <c r="U36" s="1478"/>
      <c r="V36" s="1478"/>
      <c r="W36" s="1478"/>
      <c r="X36" s="1478"/>
      <c r="Y36" s="1478"/>
      <c r="AC36" s="126"/>
    </row>
    <row r="37" spans="1:29" ht="35.25" customHeight="1" thickBot="1">
      <c r="A37" s="1320">
        <v>10</v>
      </c>
      <c r="B37" s="1407" t="s">
        <v>871</v>
      </c>
      <c r="C37" s="1408"/>
      <c r="D37" s="1479" t="s">
        <v>872</v>
      </c>
      <c r="E37" s="1480"/>
      <c r="F37" s="1480"/>
      <c r="G37" s="1481"/>
      <c r="H37" s="1481"/>
      <c r="I37" s="1481"/>
      <c r="J37" s="1481"/>
      <c r="K37" s="1481"/>
      <c r="L37" s="1481"/>
      <c r="M37" s="1481"/>
      <c r="N37" s="1481"/>
      <c r="O37" s="1481"/>
      <c r="P37" s="1481"/>
      <c r="Q37" s="1481"/>
      <c r="R37" s="1481"/>
      <c r="S37" s="1481"/>
      <c r="T37" s="1481"/>
      <c r="U37" s="1481"/>
      <c r="V37" s="1481"/>
      <c r="W37" s="1481"/>
      <c r="X37" s="1481"/>
      <c r="Y37" s="1482"/>
      <c r="AC37" s="126"/>
    </row>
    <row r="38" spans="1:29" ht="24.95" customHeight="1" thickBot="1">
      <c r="A38" s="1320"/>
      <c r="B38" s="1410"/>
      <c r="C38" s="1411"/>
      <c r="D38" s="1483" t="s">
        <v>1829</v>
      </c>
      <c r="E38" s="1483"/>
      <c r="F38" s="1483"/>
      <c r="G38" s="1483"/>
      <c r="H38" s="1483"/>
      <c r="I38" s="1483"/>
      <c r="J38" s="1483"/>
      <c r="K38" s="1483"/>
      <c r="L38" s="1483"/>
      <c r="M38" s="1483"/>
      <c r="N38" s="1483"/>
      <c r="O38" s="1483"/>
      <c r="P38" s="1483"/>
      <c r="Q38" s="1483"/>
      <c r="R38" s="1483"/>
      <c r="S38" s="1483"/>
      <c r="T38" s="1483"/>
      <c r="U38" s="1483"/>
      <c r="V38" s="1483"/>
      <c r="W38" s="1483"/>
      <c r="X38" s="1483"/>
      <c r="Y38" s="1483"/>
      <c r="AA38" s="427" t="str">
        <f>IF(AND($F$7="病棟があります",D38=""),"×","○")</f>
        <v>○</v>
      </c>
      <c r="AB38" s="427"/>
      <c r="AC38" s="126"/>
    </row>
    <row r="39" spans="1:29" ht="33.75" customHeight="1" thickBot="1">
      <c r="A39" s="1317">
        <v>11</v>
      </c>
      <c r="B39" s="1407" t="s">
        <v>873</v>
      </c>
      <c r="C39" s="1425"/>
      <c r="D39" s="1467" t="s">
        <v>874</v>
      </c>
      <c r="E39" s="1468"/>
      <c r="F39" s="1468"/>
      <c r="G39" s="1468"/>
      <c r="H39" s="1468"/>
      <c r="I39" s="1468"/>
      <c r="J39" s="1468"/>
      <c r="K39" s="1468"/>
      <c r="L39" s="1468"/>
      <c r="M39" s="1468"/>
      <c r="N39" s="1468"/>
      <c r="O39" s="1468"/>
      <c r="P39" s="1468"/>
      <c r="Q39" s="1468"/>
      <c r="R39" s="1468"/>
      <c r="S39" s="1468"/>
      <c r="T39" s="1468"/>
      <c r="U39" s="1468"/>
      <c r="V39" s="1468"/>
      <c r="W39" s="1468"/>
      <c r="X39" s="1468"/>
      <c r="Y39" s="1469"/>
      <c r="AC39" s="126"/>
    </row>
    <row r="40" spans="1:29" ht="30" customHeight="1" thickBot="1">
      <c r="A40" s="1466"/>
      <c r="B40" s="1410"/>
      <c r="C40" s="1411"/>
      <c r="D40" s="1470" t="s">
        <v>1830</v>
      </c>
      <c r="E40" s="1470"/>
      <c r="F40" s="1470"/>
      <c r="G40" s="1470"/>
      <c r="H40" s="1470"/>
      <c r="I40" s="1470"/>
      <c r="J40" s="1470"/>
      <c r="K40" s="1470"/>
      <c r="L40" s="1470"/>
      <c r="M40" s="1470"/>
      <c r="N40" s="1470"/>
      <c r="O40" s="1470"/>
      <c r="P40" s="1470"/>
      <c r="Q40" s="1470"/>
      <c r="R40" s="1470"/>
      <c r="S40" s="1470"/>
      <c r="T40" s="1470"/>
      <c r="U40" s="1470"/>
      <c r="V40" s="1470"/>
      <c r="W40" s="1470"/>
      <c r="X40" s="1470"/>
      <c r="Y40" s="1470"/>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N18" sqref="N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98" t="s">
        <v>876</v>
      </c>
      <c r="B1" s="1498"/>
      <c r="C1" s="1498"/>
      <c r="D1" s="1498"/>
      <c r="E1" s="1498"/>
      <c r="F1" s="1498"/>
      <c r="G1" s="1498"/>
      <c r="H1" s="1498"/>
      <c r="I1" s="1498"/>
      <c r="J1" s="1498"/>
      <c r="M1" s="83"/>
    </row>
    <row r="2" spans="1:16" ht="24.95" customHeight="1" thickTop="1" thickBot="1">
      <c r="A2" s="1334" t="s">
        <v>877</v>
      </c>
      <c r="B2" s="1334"/>
      <c r="C2" s="1334"/>
      <c r="D2" s="1334"/>
      <c r="E2" s="1334"/>
      <c r="F2" s="1334"/>
      <c r="G2" s="1334"/>
      <c r="H2" s="1334"/>
      <c r="I2" s="1335"/>
      <c r="J2" s="388" t="str">
        <f>IF(COUNTIF(L7:L18,"×")=0,"入力済","未入力あり")</f>
        <v>入力済</v>
      </c>
      <c r="K2" s="1270"/>
      <c r="L2" s="452"/>
      <c r="M2" s="83"/>
    </row>
    <row r="3" spans="1:16" ht="5.0999999999999996" customHeight="1" thickTop="1">
      <c r="K3" s="1270"/>
      <c r="L3" s="452"/>
      <c r="M3" s="83"/>
    </row>
    <row r="4" spans="1:16" ht="20.100000000000001" customHeight="1">
      <c r="F4" s="528" t="s">
        <v>725</v>
      </c>
      <c r="G4" s="1499" t="str">
        <f>表紙!E2</f>
        <v>社会医療法人生長会　ベルランド総合病院</v>
      </c>
      <c r="H4" s="1500"/>
      <c r="I4" s="1500"/>
      <c r="J4" s="1501"/>
      <c r="K4" s="1270"/>
      <c r="L4" s="452"/>
      <c r="M4" s="83"/>
      <c r="N4" s="390"/>
    </row>
    <row r="5" spans="1:16" ht="20.100000000000001" customHeight="1">
      <c r="F5" s="528" t="s">
        <v>878</v>
      </c>
      <c r="G5" t="str">
        <f>別紙1未充足要件!E5</f>
        <v>令和７年９月１日時点</v>
      </c>
      <c r="I5" s="529"/>
      <c r="J5" s="529"/>
      <c r="K5" s="1270"/>
      <c r="L5" s="452"/>
      <c r="M5" s="83"/>
      <c r="N5" s="530" t="s">
        <v>204</v>
      </c>
    </row>
    <row r="6" spans="1:16" ht="18" customHeight="1" thickBot="1">
      <c r="A6" s="1502" t="s">
        <v>879</v>
      </c>
      <c r="B6" s="1503"/>
      <c r="C6" s="1503"/>
      <c r="D6" s="1503"/>
      <c r="E6" s="1503"/>
      <c r="F6" s="1503"/>
      <c r="G6" s="1503"/>
      <c r="H6" s="1503"/>
      <c r="I6" s="1503"/>
      <c r="J6" s="1504"/>
      <c r="K6" s="452"/>
      <c r="L6" s="452"/>
      <c r="M6" s="83"/>
      <c r="N6" s="74"/>
    </row>
    <row r="7" spans="1:16" ht="18" customHeight="1" thickBot="1">
      <c r="A7" t="s">
        <v>1685</v>
      </c>
      <c r="B7" s="8"/>
      <c r="C7" s="8"/>
      <c r="D7" t="s">
        <v>880</v>
      </c>
      <c r="F7" s="8"/>
      <c r="H7" s="288">
        <v>1</v>
      </c>
      <c r="I7" s="531" t="s">
        <v>881</v>
      </c>
      <c r="J7" s="532"/>
      <c r="K7" s="152"/>
      <c r="L7" s="533" t="str">
        <f>IF(H7&lt;&gt;"","○","×")</f>
        <v>○</v>
      </c>
      <c r="M7" s="83"/>
      <c r="N7" s="74"/>
      <c r="O7" s="333">
        <v>0</v>
      </c>
      <c r="P7" s="334">
        <v>50</v>
      </c>
    </row>
    <row r="8" spans="1:16" ht="18" customHeight="1" thickBot="1">
      <c r="A8" s="534"/>
      <c r="B8" s="8"/>
      <c r="C8" s="8"/>
      <c r="D8" t="s">
        <v>882</v>
      </c>
      <c r="F8" s="8"/>
      <c r="H8" s="288">
        <v>1</v>
      </c>
      <c r="I8" s="531" t="s">
        <v>881</v>
      </c>
      <c r="J8" s="532"/>
      <c r="K8" s="152"/>
      <c r="L8" s="533" t="str">
        <f>IF(H8&lt;&gt;"","○","×")</f>
        <v>○</v>
      </c>
      <c r="M8" s="83"/>
      <c r="N8" s="74"/>
      <c r="O8" s="333">
        <v>0</v>
      </c>
      <c r="P8" s="334">
        <v>50</v>
      </c>
    </row>
    <row r="9" spans="1:16" ht="29.25" customHeight="1">
      <c r="A9" s="535" t="s">
        <v>883</v>
      </c>
      <c r="B9" s="1490" t="s">
        <v>884</v>
      </c>
      <c r="C9" s="1490"/>
      <c r="D9" s="1490"/>
      <c r="E9" s="1490"/>
      <c r="F9" s="1490"/>
      <c r="G9" s="1490"/>
      <c r="H9" s="1490"/>
      <c r="I9" s="1490"/>
      <c r="J9" s="1491"/>
      <c r="K9" s="452"/>
      <c r="L9" s="536"/>
      <c r="M9" s="83"/>
      <c r="N9" s="74"/>
    </row>
    <row r="10" spans="1:16" ht="18.75" customHeight="1">
      <c r="A10" s="537" t="s">
        <v>885</v>
      </c>
      <c r="B10" s="1492" t="s">
        <v>886</v>
      </c>
      <c r="C10" s="1492"/>
      <c r="D10" s="1492"/>
      <c r="E10" s="1492"/>
      <c r="F10" s="1492"/>
      <c r="G10" s="1492"/>
      <c r="H10" s="1492"/>
      <c r="I10" s="1492"/>
      <c r="J10" s="1493"/>
      <c r="K10" s="452"/>
      <c r="L10" s="536"/>
      <c r="M10" s="83"/>
      <c r="N10" s="74"/>
    </row>
    <row r="11" spans="1:16" ht="20.100000000000001" customHeight="1" thickBot="1">
      <c r="A11" s="538" t="s">
        <v>1405</v>
      </c>
      <c r="B11" s="539"/>
      <c r="C11" s="539"/>
      <c r="D11" s="539"/>
      <c r="E11" s="539"/>
      <c r="F11" s="539"/>
      <c r="G11" s="539"/>
      <c r="H11" s="539"/>
      <c r="I11" s="414"/>
      <c r="J11" s="540"/>
      <c r="K11" s="452"/>
      <c r="L11" s="536"/>
      <c r="M11" s="83"/>
      <c r="N11" s="74"/>
    </row>
    <row r="12" spans="1:16" ht="20.100000000000001" customHeight="1" thickBot="1">
      <c r="A12" s="1494" t="s">
        <v>887</v>
      </c>
      <c r="B12" s="1494"/>
      <c r="C12" s="1494"/>
      <c r="D12" s="1494"/>
      <c r="E12" s="1494"/>
      <c r="F12" s="1495"/>
      <c r="G12" s="541"/>
      <c r="H12" s="288">
        <v>1</v>
      </c>
      <c r="I12" s="542" t="s">
        <v>862</v>
      </c>
      <c r="J12" s="532"/>
      <c r="K12" s="152"/>
      <c r="L12" s="547" t="str">
        <f>IF(AND(H12&lt;&gt;0,H12=""),"×","○")</f>
        <v>○</v>
      </c>
      <c r="M12" s="83"/>
      <c r="N12" s="74"/>
      <c r="O12" s="333">
        <v>0</v>
      </c>
      <c r="P12" s="334">
        <v>10</v>
      </c>
    </row>
    <row r="13" spans="1:16" ht="20.100000000000001" customHeight="1" thickBot="1">
      <c r="A13" s="1496" t="s">
        <v>1686</v>
      </c>
      <c r="B13" s="1496"/>
      <c r="C13" s="1496"/>
      <c r="D13" s="1496"/>
      <c r="E13" s="1496"/>
      <c r="F13" s="1497"/>
      <c r="G13" s="543"/>
      <c r="H13" s="288">
        <v>13</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4" t="s">
        <v>889</v>
      </c>
      <c r="B15" s="1494"/>
      <c r="C15" s="1494"/>
      <c r="D15" s="1494"/>
      <c r="E15" s="1494"/>
      <c r="F15" s="1495"/>
      <c r="G15" s="541"/>
      <c r="H15" s="37" t="s">
        <v>1777</v>
      </c>
      <c r="I15" s="542"/>
      <c r="J15" s="532"/>
      <c r="K15" s="152"/>
      <c r="L15" s="533" t="str">
        <f>IF(H15&lt;&gt;"","○","×")</f>
        <v>○</v>
      </c>
      <c r="M15" s="83"/>
      <c r="N15" s="74"/>
    </row>
    <row r="16" spans="1:16" ht="20.100000000000001" customHeight="1" thickBot="1">
      <c r="A16" s="1485" t="s">
        <v>1687</v>
      </c>
      <c r="B16" s="1485"/>
      <c r="C16" s="1485"/>
      <c r="D16" s="1485"/>
      <c r="E16" s="1485"/>
      <c r="F16" s="1486"/>
      <c r="G16" s="546"/>
      <c r="H16" s="288">
        <v>0</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87" t="s">
        <v>1831</v>
      </c>
      <c r="B18" s="1488"/>
      <c r="C18" s="1488"/>
      <c r="D18" s="1488"/>
      <c r="E18" s="1488"/>
      <c r="F18" s="1488"/>
      <c r="G18" s="1488"/>
      <c r="H18" s="1488"/>
      <c r="I18" s="1489"/>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15" t="s">
        <v>1656</v>
      </c>
      <c r="B1" s="1515"/>
      <c r="C1" s="1515"/>
      <c r="D1" s="1515"/>
      <c r="E1" s="1515"/>
      <c r="F1" s="1515"/>
      <c r="G1" s="549"/>
      <c r="H1" s="549"/>
      <c r="I1" s="84"/>
      <c r="J1" s="550"/>
    </row>
    <row r="2" spans="1:10" ht="6" customHeight="1" thickBot="1">
      <c r="A2" s="552"/>
      <c r="B2" s="552"/>
      <c r="C2" s="552"/>
      <c r="D2" s="552"/>
      <c r="E2" s="552"/>
      <c r="F2" s="552"/>
      <c r="G2" s="549"/>
      <c r="H2" s="549"/>
      <c r="I2" s="84"/>
      <c r="J2" s="550"/>
    </row>
    <row r="3" spans="1:10" ht="20.25" customHeight="1" thickTop="1" thickBot="1">
      <c r="A3" s="1334" t="s">
        <v>832</v>
      </c>
      <c r="B3" s="1334"/>
      <c r="C3" s="1334"/>
      <c r="D3" s="1334"/>
      <c r="E3" s="1335"/>
      <c r="F3" s="388" t="str">
        <f>IF(COUNTIF(H13:H42,"×")&gt;=1,"未入力あり","入力済")</f>
        <v>入力済</v>
      </c>
      <c r="G3" s="1520"/>
      <c r="H3" s="553"/>
      <c r="I3" s="84"/>
    </row>
    <row r="4" spans="1:10" ht="19.5" thickTop="1">
      <c r="A4" s="1516"/>
      <c r="B4" s="1516"/>
      <c r="C4" s="1516"/>
      <c r="D4" s="1516"/>
      <c r="E4" s="1516"/>
      <c r="F4" s="1516"/>
      <c r="G4" s="1520"/>
      <c r="H4" s="553"/>
      <c r="I4" s="84"/>
    </row>
    <row r="5" spans="1:10">
      <c r="A5" s="549"/>
      <c r="B5" s="549"/>
      <c r="C5" s="555"/>
      <c r="D5" s="549"/>
      <c r="E5" s="883" t="s">
        <v>731</v>
      </c>
      <c r="F5" s="557" t="str">
        <f>表紙!E2</f>
        <v>社会医療法人生長会　ベルランド総合病院</v>
      </c>
      <c r="G5" s="1520"/>
      <c r="H5" s="553"/>
      <c r="I5" s="558"/>
      <c r="J5" s="139" t="s">
        <v>891</v>
      </c>
    </row>
    <row r="6" spans="1:10">
      <c r="A6" s="549"/>
      <c r="B6" s="549"/>
      <c r="C6" s="555"/>
      <c r="D6" s="549"/>
      <c r="E6" s="1097" t="s">
        <v>1599</v>
      </c>
      <c r="F6" s="559" t="str">
        <f>別紙1未充足要件!E5</f>
        <v>令和７年９月１日時点</v>
      </c>
      <c r="G6" s="1520"/>
      <c r="H6" s="553"/>
      <c r="I6" s="560"/>
      <c r="J6" s="129"/>
    </row>
    <row r="7" spans="1:10">
      <c r="A7" s="561" t="s">
        <v>893</v>
      </c>
      <c r="B7" s="549"/>
      <c r="C7" s="555"/>
      <c r="D7" s="549"/>
      <c r="E7" s="556"/>
      <c r="F7" s="562"/>
      <c r="G7" s="549"/>
      <c r="H7" s="549"/>
      <c r="I7" s="560"/>
      <c r="J7" s="129"/>
    </row>
    <row r="8" spans="1:10" ht="25.5" customHeight="1">
      <c r="A8" s="563"/>
      <c r="B8" s="1523" t="s">
        <v>1657</v>
      </c>
      <c r="C8" s="1523"/>
      <c r="D8" s="1523"/>
      <c r="E8" s="1523"/>
      <c r="F8" s="1523"/>
      <c r="G8" s="549"/>
      <c r="H8" s="549"/>
      <c r="I8" s="560"/>
      <c r="J8" s="129"/>
    </row>
    <row r="9" spans="1:10" ht="19.5" customHeight="1">
      <c r="A9" s="563"/>
      <c r="B9" s="564"/>
      <c r="C9" s="564"/>
      <c r="D9" s="564"/>
      <c r="E9" s="564"/>
      <c r="F9" s="564"/>
      <c r="G9" s="549"/>
      <c r="H9" s="549"/>
      <c r="I9" s="560"/>
      <c r="J9" s="129"/>
    </row>
    <row r="10" spans="1:10" ht="19.5" customHeight="1" thickBot="1">
      <c r="A10" s="1518" t="s">
        <v>894</v>
      </c>
      <c r="B10" s="1519"/>
      <c r="C10" s="1519"/>
      <c r="D10" s="1519"/>
      <c r="E10" s="1519"/>
      <c r="F10" s="1519"/>
      <c r="G10" s="562"/>
      <c r="H10" s="562"/>
      <c r="J10" s="129"/>
    </row>
    <row r="11" spans="1:10" ht="27" customHeight="1" thickBot="1">
      <c r="A11" s="565"/>
      <c r="B11" s="566" t="s">
        <v>895</v>
      </c>
      <c r="C11" s="566" t="s">
        <v>896</v>
      </c>
      <c r="D11" s="1521" t="s">
        <v>897</v>
      </c>
      <c r="E11" s="1521"/>
      <c r="F11" s="1521"/>
      <c r="G11" s="562"/>
      <c r="H11" s="562"/>
      <c r="J11" s="129"/>
    </row>
    <row r="12" spans="1:10" ht="21" customHeight="1" thickBot="1">
      <c r="A12" s="567" t="s">
        <v>898</v>
      </c>
      <c r="B12" s="568" t="s">
        <v>899</v>
      </c>
      <c r="C12" s="567" t="s">
        <v>900</v>
      </c>
      <c r="D12" s="1522" t="s">
        <v>901</v>
      </c>
      <c r="E12" s="1522"/>
      <c r="F12" s="1522"/>
      <c r="G12" s="562"/>
      <c r="H12" s="562"/>
      <c r="J12" s="129"/>
    </row>
    <row r="13" spans="1:10" ht="21" customHeight="1" thickBot="1">
      <c r="A13" s="569">
        <v>1</v>
      </c>
      <c r="B13" s="101" t="s">
        <v>1820</v>
      </c>
      <c r="C13" s="52" t="s">
        <v>1836</v>
      </c>
      <c r="D13" s="1517" t="s">
        <v>1837</v>
      </c>
      <c r="E13" s="1517"/>
      <c r="F13" s="1517"/>
      <c r="G13" s="562"/>
      <c r="H13" s="551" t="str">
        <f>IF(AND(B13&lt;&gt;"",C13&lt;&gt;""),"○","×")</f>
        <v>○</v>
      </c>
      <c r="J13" s="129"/>
    </row>
    <row r="14" spans="1:10" ht="21" customHeight="1" thickBot="1">
      <c r="A14" s="569">
        <v>2</v>
      </c>
      <c r="B14" s="101" t="s">
        <v>1820</v>
      </c>
      <c r="C14" s="52" t="s">
        <v>1836</v>
      </c>
      <c r="D14" s="1517" t="s">
        <v>1838</v>
      </c>
      <c r="E14" s="1517"/>
      <c r="F14" s="1517"/>
      <c r="G14" s="562"/>
      <c r="H14" s="562"/>
      <c r="J14" s="129"/>
    </row>
    <row r="15" spans="1:10" ht="21" customHeight="1" thickBot="1">
      <c r="A15" s="569">
        <v>3</v>
      </c>
      <c r="B15" s="101" t="s">
        <v>244</v>
      </c>
      <c r="C15" s="52" t="s">
        <v>1836</v>
      </c>
      <c r="D15" s="1517" t="s">
        <v>1839</v>
      </c>
      <c r="E15" s="1517"/>
      <c r="F15" s="1517"/>
      <c r="G15" s="562"/>
      <c r="H15" s="562"/>
      <c r="J15" s="129"/>
    </row>
    <row r="16" spans="1:10" ht="21" customHeight="1" thickBot="1">
      <c r="A16" s="569">
        <v>4</v>
      </c>
      <c r="B16" s="101" t="s">
        <v>899</v>
      </c>
      <c r="C16" s="52" t="s">
        <v>1836</v>
      </c>
      <c r="D16" s="1517"/>
      <c r="E16" s="1517"/>
      <c r="F16" s="1517"/>
      <c r="G16" s="562"/>
      <c r="H16" s="562"/>
      <c r="J16" s="129"/>
    </row>
    <row r="17" spans="1:10" ht="21" customHeight="1" thickBot="1">
      <c r="A17" s="569">
        <v>5</v>
      </c>
      <c r="B17" s="101" t="s">
        <v>1832</v>
      </c>
      <c r="C17" s="52" t="s">
        <v>1836</v>
      </c>
      <c r="D17" s="1517"/>
      <c r="E17" s="1517"/>
      <c r="F17" s="1517"/>
      <c r="G17" s="562"/>
      <c r="H17" s="562"/>
      <c r="J17" s="129"/>
    </row>
    <row r="18" spans="1:10" ht="21" customHeight="1" thickBot="1">
      <c r="A18" s="569">
        <v>6</v>
      </c>
      <c r="B18" s="101" t="s">
        <v>1833</v>
      </c>
      <c r="C18" s="52" t="s">
        <v>1836</v>
      </c>
      <c r="D18" s="1517"/>
      <c r="E18" s="1517"/>
      <c r="F18" s="1517"/>
      <c r="G18" s="562"/>
      <c r="H18" s="562"/>
      <c r="J18" s="129"/>
    </row>
    <row r="19" spans="1:10" ht="21" customHeight="1" thickBot="1">
      <c r="A19" s="569">
        <v>7</v>
      </c>
      <c r="B19" s="101" t="s">
        <v>241</v>
      </c>
      <c r="C19" s="52" t="s">
        <v>1836</v>
      </c>
      <c r="D19" s="1517"/>
      <c r="E19" s="1517"/>
      <c r="F19" s="1517"/>
      <c r="G19" s="562"/>
      <c r="H19" s="562"/>
      <c r="J19" s="129"/>
    </row>
    <row r="20" spans="1:10" ht="21" customHeight="1" thickBot="1">
      <c r="A20" s="569">
        <v>8</v>
      </c>
      <c r="B20" s="101" t="s">
        <v>1834</v>
      </c>
      <c r="C20" s="52" t="s">
        <v>1836</v>
      </c>
      <c r="D20" s="1517" t="s">
        <v>261</v>
      </c>
      <c r="E20" s="1517"/>
      <c r="F20" s="1517"/>
      <c r="G20" s="562"/>
      <c r="H20" s="562"/>
      <c r="J20" s="129"/>
    </row>
    <row r="21" spans="1:10" ht="21" customHeight="1" thickBot="1">
      <c r="A21" s="569">
        <v>9</v>
      </c>
      <c r="B21" s="101" t="s">
        <v>1835</v>
      </c>
      <c r="C21" s="52" t="s">
        <v>1836</v>
      </c>
      <c r="D21" s="1517"/>
      <c r="E21" s="1517"/>
      <c r="F21" s="1517"/>
      <c r="G21" s="562"/>
      <c r="H21" s="562"/>
      <c r="J21" s="129"/>
    </row>
    <row r="22" spans="1:10" ht="21" customHeight="1" thickBot="1">
      <c r="A22" s="569">
        <v>10</v>
      </c>
      <c r="B22" s="101" t="s">
        <v>1835</v>
      </c>
      <c r="C22" s="52" t="s">
        <v>1836</v>
      </c>
      <c r="D22" s="1517"/>
      <c r="E22" s="1517"/>
      <c r="F22" s="1517"/>
      <c r="G22" s="562"/>
      <c r="H22" s="562"/>
      <c r="J22" s="129"/>
    </row>
    <row r="23" spans="1:10" ht="21" customHeight="1" thickBot="1">
      <c r="A23" s="569">
        <v>11</v>
      </c>
      <c r="B23" s="101"/>
      <c r="C23" s="52"/>
      <c r="D23" s="1517"/>
      <c r="E23" s="1517"/>
      <c r="F23" s="1517"/>
      <c r="G23" s="562"/>
      <c r="H23" s="562"/>
      <c r="J23" s="129"/>
    </row>
    <row r="24" spans="1:10" ht="21" customHeight="1" thickBot="1">
      <c r="A24" s="569">
        <v>12</v>
      </c>
      <c r="B24" s="101"/>
      <c r="C24" s="52"/>
      <c r="D24" s="1517"/>
      <c r="E24" s="1517"/>
      <c r="F24" s="1517"/>
      <c r="G24" s="562"/>
      <c r="H24" s="562"/>
      <c r="J24" s="129"/>
    </row>
    <row r="25" spans="1:10" ht="21" customHeight="1" thickBot="1">
      <c r="A25" s="569">
        <v>13</v>
      </c>
      <c r="B25" s="101"/>
      <c r="C25" s="52"/>
      <c r="D25" s="1517"/>
      <c r="E25" s="1517"/>
      <c r="F25" s="1517"/>
      <c r="G25" s="562"/>
      <c r="H25" s="562"/>
      <c r="J25" s="129"/>
    </row>
    <row r="26" spans="1:10" ht="21" customHeight="1" thickBot="1">
      <c r="A26" s="569">
        <v>14</v>
      </c>
      <c r="B26" s="101"/>
      <c r="C26" s="52"/>
      <c r="D26" s="1517"/>
      <c r="E26" s="1517"/>
      <c r="F26" s="1517"/>
      <c r="G26" s="562"/>
      <c r="H26" s="562"/>
      <c r="J26" s="129"/>
    </row>
    <row r="27" spans="1:10" ht="21" customHeight="1" thickBot="1">
      <c r="A27" s="569">
        <v>15</v>
      </c>
      <c r="B27" s="101"/>
      <c r="C27" s="52"/>
      <c r="D27" s="1517"/>
      <c r="E27" s="1517"/>
      <c r="F27" s="1517"/>
      <c r="G27" s="562"/>
      <c r="H27" s="562"/>
      <c r="J27" s="129"/>
    </row>
    <row r="28" spans="1:10">
      <c r="A28" s="549"/>
      <c r="B28" s="549"/>
      <c r="C28" s="555"/>
      <c r="D28" s="549"/>
      <c r="E28" s="549"/>
      <c r="F28" s="549"/>
      <c r="G28" s="570" t="s">
        <v>902</v>
      </c>
      <c r="H28" s="570"/>
      <c r="I28" s="571"/>
      <c r="J28" s="130"/>
    </row>
    <row r="29" spans="1:10" ht="19.5" thickBot="1">
      <c r="A29" s="8" t="s">
        <v>1649</v>
      </c>
      <c r="B29" s="1165"/>
      <c r="C29" s="1166"/>
      <c r="D29" s="1165"/>
      <c r="E29" s="1165"/>
      <c r="F29" s="1165"/>
    </row>
    <row r="30" spans="1:10" ht="19.5" thickBot="1">
      <c r="A30" s="1508" t="s">
        <v>1650</v>
      </c>
      <c r="B30" s="1508"/>
      <c r="C30" s="1508"/>
      <c r="D30" s="1167">
        <v>5</v>
      </c>
      <c r="E30" s="1168" t="s">
        <v>1840</v>
      </c>
      <c r="F30" s="1165"/>
      <c r="H30" s="551" t="str">
        <f>IF(AND(D30&lt;&gt;"",E30&lt;&gt;""),"○","×")</f>
        <v>○</v>
      </c>
    </row>
    <row r="31" spans="1:10" ht="19.5" thickBot="1">
      <c r="A31" s="1508" t="s">
        <v>1651</v>
      </c>
      <c r="B31" s="1508"/>
      <c r="C31" s="1508"/>
      <c r="D31" s="1167">
        <v>1</v>
      </c>
      <c r="E31" s="1168" t="s">
        <v>1840</v>
      </c>
      <c r="F31" s="1165"/>
      <c r="H31" s="551" t="str">
        <f>IF(AND(D31&lt;&gt;"",E31&lt;&gt;""),"○","×")</f>
        <v>○</v>
      </c>
    </row>
    <row r="32" spans="1:10">
      <c r="A32" s="1165"/>
      <c r="B32" s="1165"/>
      <c r="C32" s="1166"/>
      <c r="D32" s="1165"/>
      <c r="E32" s="1165"/>
      <c r="F32" s="1165"/>
    </row>
    <row r="33" spans="1:8" ht="19.5" thickBot="1">
      <c r="A33" s="8" t="s">
        <v>1652</v>
      </c>
      <c r="B33" s="1165"/>
      <c r="C33" s="1166"/>
      <c r="D33" s="1165"/>
      <c r="E33" s="1165"/>
      <c r="F33" s="1165"/>
    </row>
    <row r="34" spans="1:8" ht="19.5" thickBot="1">
      <c r="A34" s="1509" t="s">
        <v>1653</v>
      </c>
      <c r="B34" s="1510"/>
      <c r="C34" s="1510"/>
      <c r="D34" s="1510"/>
      <c r="E34" s="1510"/>
      <c r="F34" s="1511"/>
    </row>
    <row r="35" spans="1:8" ht="19.5" thickBot="1">
      <c r="A35" s="1509"/>
      <c r="B35" s="1510"/>
      <c r="C35" s="1510"/>
      <c r="D35" s="1510"/>
      <c r="E35" s="1510"/>
      <c r="F35" s="1511"/>
    </row>
    <row r="36" spans="1:8" ht="19.5" thickBot="1">
      <c r="A36" s="1512" t="s">
        <v>1841</v>
      </c>
      <c r="B36" s="1513"/>
      <c r="C36" s="1513"/>
      <c r="D36" s="1513"/>
      <c r="E36" s="1513"/>
      <c r="F36" s="1514"/>
      <c r="H36" s="551" t="str">
        <f>IF(A36="","×","○")</f>
        <v>○</v>
      </c>
    </row>
    <row r="37" spans="1:8" ht="19.5" thickBot="1">
      <c r="A37" s="1512"/>
      <c r="B37" s="1513"/>
      <c r="C37" s="1513"/>
      <c r="D37" s="1513"/>
      <c r="E37" s="1513"/>
      <c r="F37" s="1514"/>
    </row>
    <row r="38" spans="1:8" ht="19.5" thickBot="1">
      <c r="A38" s="1509" t="s">
        <v>1654</v>
      </c>
      <c r="B38" s="1510"/>
      <c r="C38" s="1510"/>
      <c r="D38" s="1510"/>
      <c r="E38" s="1510"/>
      <c r="F38" s="1511"/>
    </row>
    <row r="39" spans="1:8" ht="19.5" thickBot="1">
      <c r="A39" s="1509"/>
      <c r="B39" s="1510"/>
      <c r="C39" s="1510"/>
      <c r="D39" s="1510"/>
      <c r="E39" s="1510"/>
      <c r="F39" s="1511"/>
    </row>
    <row r="40" spans="1:8" ht="19.5" thickBot="1">
      <c r="A40" s="1509"/>
      <c r="B40" s="1510"/>
      <c r="C40" s="1510"/>
      <c r="D40" s="1510"/>
      <c r="E40" s="1510"/>
      <c r="F40" s="1511"/>
    </row>
    <row r="41" spans="1:8" ht="19.5" thickBot="1">
      <c r="A41" s="1505" t="s">
        <v>1842</v>
      </c>
      <c r="B41" s="1506"/>
      <c r="C41" s="1506"/>
      <c r="D41" s="1506"/>
      <c r="E41" s="1506"/>
      <c r="F41" s="1507"/>
      <c r="H41" s="551" t="str">
        <f>IF(A41="","×","○")</f>
        <v>○</v>
      </c>
    </row>
    <row r="42" spans="1:8" ht="19.5" thickBot="1">
      <c r="A42" s="1505"/>
      <c r="B42" s="1506"/>
      <c r="C42" s="1506"/>
      <c r="D42" s="1506"/>
      <c r="E42" s="1506"/>
      <c r="F42" s="1507"/>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10" sqref="AC10"/>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5" t="s">
        <v>903</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73"/>
      <c r="AA1" s="573"/>
      <c r="AB1" s="83"/>
      <c r="AC1" s="574"/>
    </row>
    <row r="2" spans="1:29" ht="24.95" customHeight="1" thickTop="1" thickBot="1">
      <c r="A2" s="1334" t="s">
        <v>877</v>
      </c>
      <c r="B2" s="1334"/>
      <c r="C2" s="1334"/>
      <c r="D2" s="1334"/>
      <c r="E2" s="1334"/>
      <c r="F2" s="1334"/>
      <c r="G2" s="1334"/>
      <c r="H2" s="1334"/>
      <c r="I2" s="1334"/>
      <c r="J2" s="1334"/>
      <c r="K2" s="1334"/>
      <c r="L2" s="1334"/>
      <c r="M2" s="1334"/>
      <c r="N2" s="1334"/>
      <c r="O2" s="1334"/>
      <c r="P2" s="1334"/>
      <c r="Q2" s="1334"/>
      <c r="R2" s="1334"/>
      <c r="S2" s="1334"/>
      <c r="T2" s="1334"/>
      <c r="U2" s="1334"/>
      <c r="V2" s="1334"/>
      <c r="W2" s="1334"/>
      <c r="X2" s="1335"/>
      <c r="Y2" s="388" t="str">
        <f>IF(COUNTIF(AA7:AA11,"×")&gt;=1,"未入力あり","入力済")</f>
        <v>入力済</v>
      </c>
      <c r="Z2" s="1270"/>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0"/>
      <c r="AA3" s="452"/>
    </row>
    <row r="4" spans="1:29" ht="20.25" customHeight="1">
      <c r="A4" s="437"/>
      <c r="B4" s="437"/>
      <c r="C4" s="437"/>
      <c r="D4" s="437"/>
      <c r="E4" s="437"/>
      <c r="F4" s="391" t="s">
        <v>725</v>
      </c>
      <c r="G4" s="1390">
        <f>表紙!A2</f>
        <v>0</v>
      </c>
      <c r="H4" s="1391"/>
      <c r="I4" s="1391"/>
      <c r="J4" s="1391"/>
      <c r="K4" s="1391"/>
      <c r="L4" s="1391"/>
      <c r="M4" s="1391"/>
      <c r="N4" s="1391"/>
      <c r="O4" s="1391"/>
      <c r="P4" s="1391"/>
      <c r="Q4" s="1391"/>
      <c r="R4" s="1391"/>
      <c r="S4" s="1391"/>
      <c r="T4" s="1391"/>
      <c r="U4" s="1391"/>
      <c r="V4" s="1391"/>
      <c r="W4" s="1391"/>
      <c r="X4" s="1391"/>
      <c r="Y4" s="1392"/>
      <c r="Z4" s="1270"/>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0"/>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05">
        <v>1</v>
      </c>
      <c r="B7" s="576" t="s">
        <v>904</v>
      </c>
      <c r="C7" s="577"/>
      <c r="D7" s="577"/>
      <c r="E7" s="577"/>
      <c r="F7" s="578"/>
      <c r="G7" s="578"/>
      <c r="H7" s="579"/>
      <c r="I7" s="1526" t="s">
        <v>1903</v>
      </c>
      <c r="J7" s="1527"/>
      <c r="K7" s="1527"/>
      <c r="L7" s="1527"/>
      <c r="M7" s="1528"/>
      <c r="N7" s="1529" t="s">
        <v>478</v>
      </c>
      <c r="O7" s="1530"/>
      <c r="P7" s="1530"/>
      <c r="Q7" s="1530"/>
      <c r="R7" s="1530"/>
      <c r="S7" s="1530"/>
      <c r="T7" s="1530"/>
      <c r="U7" s="580"/>
      <c r="V7" s="559"/>
      <c r="W7" s="559"/>
      <c r="X7" s="559"/>
      <c r="Y7" s="581"/>
      <c r="Z7" s="582"/>
      <c r="AA7" s="583" t="str">
        <f>IF(I7="","×","○")</f>
        <v>○</v>
      </c>
      <c r="AC7" s="125"/>
    </row>
    <row r="8" spans="1:29" ht="18" customHeight="1" thickBot="1">
      <c r="A8" s="1406"/>
      <c r="B8" s="584" t="s">
        <v>905</v>
      </c>
      <c r="C8" s="585"/>
      <c r="D8" s="585"/>
      <c r="E8" s="585"/>
      <c r="F8" s="504"/>
      <c r="G8" s="504"/>
      <c r="H8" s="505"/>
      <c r="I8" s="1526"/>
      <c r="J8" s="1527"/>
      <c r="K8" s="1527"/>
      <c r="L8" s="1527"/>
      <c r="M8" s="1528"/>
      <c r="N8" s="1524" t="s">
        <v>478</v>
      </c>
      <c r="O8" s="1525"/>
      <c r="P8" s="1525"/>
      <c r="Q8" s="1525"/>
      <c r="R8" s="1525"/>
      <c r="S8" s="1525"/>
      <c r="T8" s="1525"/>
      <c r="U8" s="51"/>
      <c r="V8" s="49"/>
      <c r="W8" s="49"/>
      <c r="X8" s="49"/>
      <c r="Y8" s="586"/>
      <c r="Z8" s="582"/>
      <c r="AA8" s="583" t="str">
        <f>IF(AND(I7="はい",I8=""),"×","○")</f>
        <v>○</v>
      </c>
      <c r="AC8" s="125"/>
    </row>
    <row r="9" spans="1:29" ht="31.5" customHeight="1" thickBot="1">
      <c r="A9" s="1384">
        <v>2</v>
      </c>
      <c r="B9" s="1531" t="s">
        <v>906</v>
      </c>
      <c r="C9" s="1532"/>
      <c r="D9" s="1532"/>
      <c r="E9" s="1532"/>
      <c r="F9" s="1532"/>
      <c r="G9" s="1532"/>
      <c r="H9" s="1533"/>
      <c r="I9" s="1526"/>
      <c r="J9" s="1527"/>
      <c r="K9" s="1527"/>
      <c r="L9" s="1527"/>
      <c r="M9" s="1528"/>
      <c r="N9" s="1524" t="s">
        <v>478</v>
      </c>
      <c r="O9" s="1525"/>
      <c r="P9" s="1525"/>
      <c r="Q9" s="1525"/>
      <c r="R9" s="1525"/>
      <c r="S9" s="1525"/>
      <c r="T9" s="1525"/>
      <c r="V9" s="49"/>
      <c r="W9" s="49"/>
      <c r="X9" s="49"/>
      <c r="Y9" s="586"/>
      <c r="Z9" s="51"/>
      <c r="AA9" s="583" t="str">
        <f>IF(AND(I7="はい",I9=""),"×","○")</f>
        <v>○</v>
      </c>
      <c r="AC9" s="125"/>
    </row>
    <row r="10" spans="1:29" ht="13.5">
      <c r="A10" s="1385"/>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85"/>
      <c r="B11" s="1534"/>
      <c r="C11" s="1535"/>
      <c r="D11" s="1535"/>
      <c r="E11" s="1535"/>
      <c r="F11" s="1535"/>
      <c r="G11" s="1535"/>
      <c r="H11" s="1535"/>
      <c r="I11" s="1535"/>
      <c r="J11" s="1535"/>
      <c r="K11" s="1535"/>
      <c r="L11" s="1535"/>
      <c r="M11" s="1535"/>
      <c r="N11" s="1535"/>
      <c r="O11" s="1535"/>
      <c r="P11" s="1535"/>
      <c r="Q11" s="1535"/>
      <c r="R11" s="1535"/>
      <c r="S11" s="1535"/>
      <c r="T11" s="1535"/>
      <c r="U11" s="1535"/>
      <c r="V11" s="1535"/>
      <c r="W11" s="1535"/>
      <c r="X11" s="1536"/>
      <c r="Y11" s="589"/>
      <c r="Z11" s="51"/>
      <c r="AA11" s="588" t="str">
        <f>IF(AND(I9="はい",B11=""),"×","○")</f>
        <v>○</v>
      </c>
      <c r="AC11" s="74"/>
    </row>
    <row r="12" spans="1:29">
      <c r="A12" s="1385"/>
      <c r="B12" s="1537"/>
      <c r="C12" s="1538"/>
      <c r="D12" s="1538"/>
      <c r="E12" s="1538"/>
      <c r="F12" s="1538"/>
      <c r="G12" s="1538"/>
      <c r="H12" s="1538"/>
      <c r="I12" s="1538"/>
      <c r="J12" s="1538"/>
      <c r="K12" s="1538"/>
      <c r="L12" s="1538"/>
      <c r="M12" s="1538"/>
      <c r="N12" s="1538"/>
      <c r="O12" s="1538"/>
      <c r="P12" s="1538"/>
      <c r="Q12" s="1538"/>
      <c r="R12" s="1538"/>
      <c r="S12" s="1538"/>
      <c r="T12" s="1538"/>
      <c r="U12" s="1538"/>
      <c r="V12" s="1538"/>
      <c r="W12" s="1538"/>
      <c r="X12" s="1539"/>
      <c r="Y12" s="589"/>
      <c r="Z12" s="51"/>
      <c r="AA12" s="51"/>
      <c r="AC12" s="74"/>
    </row>
    <row r="13" spans="1:29">
      <c r="A13" s="1385"/>
      <c r="B13" s="1537"/>
      <c r="C13" s="1538"/>
      <c r="D13" s="1538"/>
      <c r="E13" s="1538"/>
      <c r="F13" s="1538"/>
      <c r="G13" s="1538"/>
      <c r="H13" s="1538"/>
      <c r="I13" s="1538"/>
      <c r="J13" s="1538"/>
      <c r="K13" s="1538"/>
      <c r="L13" s="1538"/>
      <c r="M13" s="1538"/>
      <c r="N13" s="1538"/>
      <c r="O13" s="1538"/>
      <c r="P13" s="1538"/>
      <c r="Q13" s="1538"/>
      <c r="R13" s="1538"/>
      <c r="S13" s="1538"/>
      <c r="T13" s="1538"/>
      <c r="U13" s="1538"/>
      <c r="V13" s="1538"/>
      <c r="W13" s="1538"/>
      <c r="X13" s="1539"/>
      <c r="Y13" s="589"/>
      <c r="Z13" s="51"/>
      <c r="AA13" s="51"/>
      <c r="AC13" s="74"/>
    </row>
    <row r="14" spans="1:29">
      <c r="A14" s="1385"/>
      <c r="B14" s="1537"/>
      <c r="C14" s="1538"/>
      <c r="D14" s="1538"/>
      <c r="E14" s="1538"/>
      <c r="F14" s="1538"/>
      <c r="G14" s="1538"/>
      <c r="H14" s="1538"/>
      <c r="I14" s="1538"/>
      <c r="J14" s="1538"/>
      <c r="K14" s="1538"/>
      <c r="L14" s="1538"/>
      <c r="M14" s="1538"/>
      <c r="N14" s="1538"/>
      <c r="O14" s="1538"/>
      <c r="P14" s="1538"/>
      <c r="Q14" s="1538"/>
      <c r="R14" s="1538"/>
      <c r="S14" s="1538"/>
      <c r="T14" s="1538"/>
      <c r="U14" s="1538"/>
      <c r="V14" s="1538"/>
      <c r="W14" s="1538"/>
      <c r="X14" s="1539"/>
      <c r="Y14" s="589"/>
      <c r="Z14" s="51"/>
      <c r="AA14" s="51"/>
      <c r="AC14" s="74"/>
    </row>
    <row r="15" spans="1:29">
      <c r="A15" s="1386"/>
      <c r="B15" s="1540"/>
      <c r="C15" s="1541"/>
      <c r="D15" s="1541"/>
      <c r="E15" s="1541"/>
      <c r="F15" s="1541"/>
      <c r="G15" s="1541"/>
      <c r="H15" s="1541"/>
      <c r="I15" s="1541"/>
      <c r="J15" s="1541"/>
      <c r="K15" s="1541"/>
      <c r="L15" s="1541"/>
      <c r="M15" s="1541"/>
      <c r="N15" s="1541"/>
      <c r="O15" s="1541"/>
      <c r="P15" s="1541"/>
      <c r="Q15" s="1541"/>
      <c r="R15" s="1541"/>
      <c r="S15" s="1541"/>
      <c r="T15" s="1541"/>
      <c r="U15" s="1541"/>
      <c r="V15" s="1541"/>
      <c r="W15" s="1541"/>
      <c r="X15" s="1542"/>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5" t="s">
        <v>908</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73"/>
      <c r="AA1" s="573"/>
      <c r="AB1" s="83"/>
      <c r="AC1" s="574"/>
    </row>
    <row r="2" spans="1:29" ht="24.95" customHeight="1" thickTop="1" thickBot="1">
      <c r="A2" s="1334" t="s">
        <v>832</v>
      </c>
      <c r="B2" s="1334"/>
      <c r="C2" s="1334"/>
      <c r="D2" s="1334"/>
      <c r="E2" s="1334"/>
      <c r="F2" s="1334"/>
      <c r="G2" s="1334"/>
      <c r="H2" s="1334"/>
      <c r="I2" s="1334"/>
      <c r="J2" s="1334"/>
      <c r="K2" s="1334"/>
      <c r="L2" s="1334"/>
      <c r="M2" s="1334"/>
      <c r="N2" s="1334"/>
      <c r="O2" s="1334"/>
      <c r="P2" s="1334"/>
      <c r="Q2" s="1334"/>
      <c r="R2" s="1334"/>
      <c r="S2" s="1334"/>
      <c r="T2" s="1334"/>
      <c r="U2" s="1334"/>
      <c r="V2" s="1334"/>
      <c r="W2" s="1334"/>
      <c r="X2" s="1335"/>
      <c r="Y2" s="388" t="str">
        <f>IF(COUNTIF(AA6:AA28,"×")&gt;=1,"未入力あり","入力済")</f>
        <v>入力済</v>
      </c>
      <c r="Z2" s="1270"/>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0"/>
      <c r="AA3" s="452"/>
    </row>
    <row r="4" spans="1:29" ht="20.25" customHeight="1">
      <c r="A4" s="437"/>
      <c r="B4" s="437"/>
      <c r="C4" s="437"/>
      <c r="D4" s="437"/>
      <c r="E4" s="437"/>
      <c r="F4" s="391" t="s">
        <v>725</v>
      </c>
      <c r="G4" s="1390" t="str">
        <f>表紙!E2</f>
        <v>社会医療法人生長会　ベルランド総合病院</v>
      </c>
      <c r="H4" s="1391"/>
      <c r="I4" s="1391"/>
      <c r="J4" s="1391"/>
      <c r="K4" s="1391"/>
      <c r="L4" s="1391"/>
      <c r="M4" s="1391"/>
      <c r="N4" s="1391"/>
      <c r="O4" s="1391"/>
      <c r="P4" s="1391"/>
      <c r="Q4" s="1391"/>
      <c r="R4" s="1391"/>
      <c r="S4" s="1391"/>
      <c r="T4" s="1391"/>
      <c r="U4" s="1391"/>
      <c r="V4" s="1391"/>
      <c r="W4" s="1391"/>
      <c r="X4" s="1391"/>
      <c r="Y4" s="1392"/>
      <c r="Z4" s="1270"/>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0"/>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3">
        <v>1</v>
      </c>
      <c r="B7" s="576" t="s">
        <v>909</v>
      </c>
      <c r="C7" s="577"/>
      <c r="D7" s="577"/>
      <c r="E7" s="577"/>
      <c r="F7" s="578"/>
      <c r="G7" s="578"/>
      <c r="H7" s="578"/>
      <c r="I7" s="577"/>
      <c r="J7" s="577"/>
      <c r="K7" s="577"/>
      <c r="L7" s="577"/>
      <c r="M7" s="577"/>
      <c r="N7" s="577"/>
      <c r="O7" s="577"/>
      <c r="P7" s="592"/>
      <c r="Q7" s="1526" t="s">
        <v>1778</v>
      </c>
      <c r="R7" s="1527"/>
      <c r="S7" s="1527"/>
      <c r="T7" s="1527"/>
      <c r="U7" s="1528"/>
      <c r="V7" s="511" t="s">
        <v>910</v>
      </c>
      <c r="W7" s="511"/>
      <c r="X7" s="511"/>
      <c r="Y7" s="512"/>
      <c r="Z7" s="593"/>
      <c r="AA7" s="8" t="str">
        <f>IF(Q7="","×","○")</f>
        <v>○</v>
      </c>
      <c r="AC7" s="74"/>
    </row>
    <row r="8" spans="1:29" ht="18" customHeight="1">
      <c r="A8" s="1320"/>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20"/>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20"/>
      <c r="B10" s="1550" t="s">
        <v>1843</v>
      </c>
      <c r="C10" s="1551"/>
      <c r="D10" s="1551"/>
      <c r="E10" s="1551"/>
      <c r="F10" s="1551"/>
      <c r="G10" s="1551"/>
      <c r="H10" s="1551"/>
      <c r="I10" s="1551"/>
      <c r="J10" s="1551"/>
      <c r="K10" s="1551"/>
      <c r="L10" s="1551"/>
      <c r="M10" s="1551"/>
      <c r="N10" s="1551"/>
      <c r="O10" s="1551"/>
      <c r="P10" s="1551"/>
      <c r="Q10" s="1551"/>
      <c r="R10" s="1551"/>
      <c r="S10" s="1551"/>
      <c r="T10" s="1551"/>
      <c r="U10" s="1551"/>
      <c r="V10" s="1551"/>
      <c r="W10" s="1551"/>
      <c r="X10" s="1551"/>
      <c r="Y10" s="1552"/>
      <c r="Z10" s="405"/>
      <c r="AA10" s="547" t="str">
        <f>IF(AND(Q7="はい",B10=""),"×","○")</f>
        <v>○</v>
      </c>
      <c r="AC10" s="74"/>
    </row>
    <row r="11" spans="1:29" ht="18" customHeight="1" thickBot="1">
      <c r="A11" s="1320"/>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4"/>
      <c r="B12" s="1550"/>
      <c r="C12" s="1551"/>
      <c r="D12" s="1551"/>
      <c r="E12" s="1551"/>
      <c r="F12" s="1551"/>
      <c r="G12" s="1551"/>
      <c r="H12" s="1551"/>
      <c r="I12" s="1551"/>
      <c r="J12" s="1551"/>
      <c r="K12" s="1551"/>
      <c r="L12" s="1551"/>
      <c r="M12" s="1551"/>
      <c r="N12" s="1551"/>
      <c r="O12" s="1551"/>
      <c r="P12" s="1551"/>
      <c r="Q12" s="1551"/>
      <c r="R12" s="1551"/>
      <c r="S12" s="1551"/>
      <c r="T12" s="1551"/>
      <c r="U12" s="1551"/>
      <c r="V12" s="1551"/>
      <c r="W12" s="1551"/>
      <c r="X12" s="1551"/>
      <c r="Y12" s="1552"/>
      <c r="Z12" s="405"/>
      <c r="AA12" s="547" t="str">
        <f>IF(AND(Q7="いいえ",B12=""),"×","○")</f>
        <v>○</v>
      </c>
      <c r="AC12" s="74"/>
    </row>
    <row r="13" spans="1:29" ht="18" customHeight="1" thickBot="1">
      <c r="A13" s="1545">
        <v>2</v>
      </c>
      <c r="B13" s="599" t="s">
        <v>915</v>
      </c>
      <c r="C13" s="600"/>
      <c r="D13" s="600"/>
      <c r="E13" s="600"/>
      <c r="F13" s="487"/>
      <c r="G13" s="487"/>
      <c r="H13" s="487"/>
      <c r="I13" s="600"/>
      <c r="J13" s="600"/>
      <c r="K13" s="600"/>
      <c r="L13" s="600"/>
      <c r="M13" s="600"/>
      <c r="N13" s="600"/>
      <c r="O13" s="600"/>
      <c r="P13" s="600"/>
      <c r="Q13" s="1526" t="s">
        <v>1778</v>
      </c>
      <c r="R13" s="1527"/>
      <c r="S13" s="1527"/>
      <c r="T13" s="1527"/>
      <c r="U13" s="1528"/>
      <c r="V13" s="387" t="s">
        <v>910</v>
      </c>
      <c r="W13" s="387"/>
      <c r="X13" s="387"/>
      <c r="Y13" s="513"/>
      <c r="Z13" s="593"/>
      <c r="AA13" s="8" t="str">
        <f>IF(Q13="","×","○")</f>
        <v>○</v>
      </c>
      <c r="AC13" s="74"/>
    </row>
    <row r="14" spans="1:29" ht="18" customHeight="1" thickBot="1">
      <c r="A14" s="1545"/>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6"/>
      <c r="B15" s="1550" t="s">
        <v>1844</v>
      </c>
      <c r="C15" s="1551"/>
      <c r="D15" s="1551"/>
      <c r="E15" s="1551"/>
      <c r="F15" s="1551"/>
      <c r="G15" s="1551"/>
      <c r="H15" s="1551"/>
      <c r="I15" s="1551"/>
      <c r="J15" s="1551"/>
      <c r="K15" s="1551"/>
      <c r="L15" s="1551"/>
      <c r="M15" s="1551"/>
      <c r="N15" s="1551"/>
      <c r="O15" s="1551"/>
      <c r="P15" s="1551"/>
      <c r="Q15" s="1551"/>
      <c r="R15" s="1551"/>
      <c r="S15" s="1551"/>
      <c r="T15" s="1551"/>
      <c r="U15" s="1551"/>
      <c r="V15" s="1551"/>
      <c r="W15" s="1551"/>
      <c r="X15" s="1551"/>
      <c r="Y15" s="1552"/>
      <c r="Z15" s="405"/>
      <c r="AA15" s="547" t="str">
        <f>IF(AND(Q13="はい",B15=""),"×","○")</f>
        <v>○</v>
      </c>
      <c r="AC15" s="74"/>
    </row>
    <row r="16" spans="1:29" ht="18" customHeight="1" thickBot="1">
      <c r="A16" s="1545">
        <v>3</v>
      </c>
      <c r="B16" s="599" t="s">
        <v>917</v>
      </c>
      <c r="C16" s="600"/>
      <c r="D16" s="600"/>
      <c r="E16" s="600"/>
      <c r="F16" s="487"/>
      <c r="G16" s="487"/>
      <c r="H16" s="487"/>
      <c r="I16" s="600"/>
      <c r="J16" s="600"/>
      <c r="K16" s="600"/>
      <c r="L16" s="600"/>
      <c r="M16" s="600"/>
      <c r="N16" s="600"/>
      <c r="O16" s="600"/>
      <c r="P16" s="600"/>
      <c r="Q16" s="1526" t="s">
        <v>1778</v>
      </c>
      <c r="R16" s="1527"/>
      <c r="S16" s="1527"/>
      <c r="T16" s="1527"/>
      <c r="U16" s="1528"/>
      <c r="V16" s="1555" t="s">
        <v>910</v>
      </c>
      <c r="W16" s="1555"/>
      <c r="X16" s="1555"/>
      <c r="Y16" s="1556"/>
      <c r="Z16" s="593"/>
      <c r="AA16" s="8" t="str">
        <f>IF(Q16="","×","○")</f>
        <v>○</v>
      </c>
      <c r="AC16" s="74"/>
    </row>
    <row r="17" spans="1:29" ht="18" customHeight="1" thickBot="1">
      <c r="A17" s="1545"/>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6"/>
      <c r="B18" s="1550" t="s">
        <v>1845</v>
      </c>
      <c r="C18" s="1551"/>
      <c r="D18" s="1551"/>
      <c r="E18" s="1551"/>
      <c r="F18" s="1551"/>
      <c r="G18" s="1551"/>
      <c r="H18" s="1551"/>
      <c r="I18" s="1551"/>
      <c r="J18" s="1551"/>
      <c r="K18" s="1551"/>
      <c r="L18" s="1551"/>
      <c r="M18" s="1551"/>
      <c r="N18" s="1551"/>
      <c r="O18" s="1551"/>
      <c r="P18" s="1551"/>
      <c r="Q18" s="1551"/>
      <c r="R18" s="1551"/>
      <c r="S18" s="1551"/>
      <c r="T18" s="1551"/>
      <c r="U18" s="1551"/>
      <c r="V18" s="1551"/>
      <c r="W18" s="1551"/>
      <c r="X18" s="1551"/>
      <c r="Y18" s="1552"/>
      <c r="Z18" s="405"/>
      <c r="AA18" s="547" t="str">
        <f>IF(AND(Q16="はい",B18=""),"×","○")</f>
        <v>○</v>
      </c>
      <c r="AC18" s="74"/>
    </row>
    <row r="19" spans="1:29" ht="18" customHeight="1" thickBot="1">
      <c r="A19" s="1543">
        <v>4</v>
      </c>
      <c r="B19" s="576" t="s">
        <v>1640</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4"/>
      <c r="B20" s="1550" t="s">
        <v>1846</v>
      </c>
      <c r="C20" s="1551"/>
      <c r="D20" s="1551"/>
      <c r="E20" s="1551"/>
      <c r="F20" s="1551"/>
      <c r="G20" s="1551"/>
      <c r="H20" s="1551"/>
      <c r="I20" s="1551"/>
      <c r="J20" s="1551"/>
      <c r="K20" s="1551"/>
      <c r="L20" s="1551"/>
      <c r="M20" s="1551"/>
      <c r="N20" s="1551"/>
      <c r="O20" s="1551"/>
      <c r="P20" s="1551"/>
      <c r="Q20" s="1551"/>
      <c r="R20" s="1551"/>
      <c r="S20" s="1551"/>
      <c r="T20" s="1551"/>
      <c r="U20" s="1551"/>
      <c r="V20" s="1551"/>
      <c r="W20" s="1551"/>
      <c r="X20" s="1551"/>
      <c r="Y20" s="1552"/>
      <c r="Z20" s="405"/>
      <c r="AC20" s="74"/>
    </row>
    <row r="21" spans="1:29" ht="18" customHeight="1" thickBot="1">
      <c r="A21" s="1543">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4"/>
      <c r="B22" s="1554"/>
      <c r="C22" s="1548"/>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9"/>
      <c r="Z22" s="405"/>
      <c r="AC22" s="74"/>
    </row>
    <row r="23" spans="1:29" ht="18" customHeight="1" thickBot="1">
      <c r="A23" s="1543">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4"/>
      <c r="B24" s="1547" t="s">
        <v>1847</v>
      </c>
      <c r="C24" s="1548"/>
      <c r="D24" s="1548"/>
      <c r="E24" s="1548"/>
      <c r="F24" s="1548"/>
      <c r="G24" s="1548"/>
      <c r="H24" s="1548"/>
      <c r="I24" s="1548"/>
      <c r="J24" s="1548"/>
      <c r="K24" s="1548"/>
      <c r="L24" s="1548"/>
      <c r="M24" s="1548"/>
      <c r="N24" s="1548"/>
      <c r="O24" s="1548"/>
      <c r="P24" s="1548"/>
      <c r="Q24" s="1548"/>
      <c r="R24" s="1548"/>
      <c r="S24" s="1548"/>
      <c r="T24" s="1548"/>
      <c r="U24" s="1548"/>
      <c r="V24" s="1548"/>
      <c r="W24" s="1548"/>
      <c r="X24" s="1548"/>
      <c r="Y24" s="1549"/>
      <c r="Z24" s="405"/>
      <c r="AC24" s="74"/>
    </row>
    <row r="25" spans="1:29" ht="18" customHeight="1" thickBot="1">
      <c r="A25" s="1543">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4"/>
      <c r="B26" s="1553" t="s">
        <v>1848</v>
      </c>
      <c r="C26" s="1551"/>
      <c r="D26" s="1551"/>
      <c r="E26" s="1551"/>
      <c r="F26" s="1551"/>
      <c r="G26" s="1551"/>
      <c r="H26" s="1551"/>
      <c r="I26" s="1551"/>
      <c r="J26" s="1551"/>
      <c r="K26" s="1551"/>
      <c r="L26" s="1551"/>
      <c r="M26" s="1551"/>
      <c r="N26" s="1551"/>
      <c r="O26" s="1551"/>
      <c r="P26" s="1551"/>
      <c r="Q26" s="1551"/>
      <c r="R26" s="1551"/>
      <c r="S26" s="1551"/>
      <c r="T26" s="1551"/>
      <c r="U26" s="1551"/>
      <c r="V26" s="1551"/>
      <c r="W26" s="1551"/>
      <c r="X26" s="1551"/>
      <c r="Y26" s="1552"/>
      <c r="Z26" s="405"/>
      <c r="AC26" s="74"/>
    </row>
    <row r="27" spans="1:29" ht="18" customHeight="1" thickBot="1">
      <c r="A27" s="1545">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6"/>
      <c r="B28" s="1550" t="s">
        <v>1849</v>
      </c>
      <c r="C28" s="1551"/>
      <c r="D28" s="1551"/>
      <c r="E28" s="1551"/>
      <c r="F28" s="1551"/>
      <c r="G28" s="1551"/>
      <c r="H28" s="1551"/>
      <c r="I28" s="1551"/>
      <c r="J28" s="1551"/>
      <c r="K28" s="1551"/>
      <c r="L28" s="1551"/>
      <c r="M28" s="1551"/>
      <c r="N28" s="1551"/>
      <c r="O28" s="1551"/>
      <c r="P28" s="1551"/>
      <c r="Q28" s="1551"/>
      <c r="R28" s="1551"/>
      <c r="S28" s="1551"/>
      <c r="T28" s="1551"/>
      <c r="U28" s="1551"/>
      <c r="V28" s="1551"/>
      <c r="W28" s="1551"/>
      <c r="X28" s="1551"/>
      <c r="Y28" s="1552"/>
      <c r="Z28" s="40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19" sqref="F19:F33"/>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64" t="s">
        <v>923</v>
      </c>
      <c r="B1" s="1564"/>
      <c r="C1" s="1564"/>
      <c r="D1" s="1564"/>
      <c r="E1" s="1564"/>
      <c r="F1" s="1564"/>
      <c r="G1" s="1564"/>
      <c r="H1" s="610"/>
      <c r="I1" s="610"/>
      <c r="K1" s="83"/>
      <c r="L1" s="612"/>
    </row>
    <row r="2" spans="1:14" s="611" customFormat="1" ht="24.95" customHeight="1" thickTop="1" thickBot="1">
      <c r="A2" s="1277" t="s">
        <v>877</v>
      </c>
      <c r="B2" s="1277"/>
      <c r="C2" s="1277"/>
      <c r="D2" s="1277"/>
      <c r="E2" s="1277"/>
      <c r="F2" s="1296"/>
      <c r="G2" s="388" t="str">
        <f>IF(COUNTIF(I8:J36,"×")&gt;=1,"未入力あり","入力済")</f>
        <v>入力済</v>
      </c>
      <c r="H2" s="613"/>
      <c r="I2" s="614"/>
      <c r="J2" s="1563"/>
      <c r="K2" s="83"/>
      <c r="L2" s="612"/>
    </row>
    <row r="3" spans="1:14" s="611" customFormat="1" ht="5.0999999999999996" customHeight="1" thickTop="1">
      <c r="A3" s="615"/>
      <c r="B3" s="615"/>
      <c r="C3" s="615"/>
      <c r="D3" s="615"/>
      <c r="E3" s="615"/>
      <c r="F3" s="615"/>
      <c r="G3" s="616"/>
      <c r="H3" s="616"/>
      <c r="I3" s="616"/>
      <c r="J3" s="1563"/>
      <c r="K3" s="51"/>
      <c r="L3" s="612"/>
    </row>
    <row r="4" spans="1:14" s="611" customFormat="1" ht="20.25" customHeight="1">
      <c r="A4" s="615"/>
      <c r="B4" s="615"/>
      <c r="C4" s="615"/>
      <c r="D4" s="617" t="s">
        <v>924</v>
      </c>
      <c r="E4" s="1567" t="str">
        <f>表紙!E2</f>
        <v>社会医療法人生長会　ベルランド総合病院</v>
      </c>
      <c r="F4" s="1568"/>
      <c r="G4" s="1569"/>
      <c r="H4" s="618"/>
      <c r="I4" s="618"/>
      <c r="J4" s="1563"/>
      <c r="K4" s="83"/>
      <c r="L4" s="612"/>
    </row>
    <row r="5" spans="1:14" s="611" customFormat="1" ht="20.25" customHeight="1">
      <c r="A5" s="615"/>
      <c r="B5" s="615"/>
      <c r="C5" s="615"/>
      <c r="D5" s="1571" t="s">
        <v>1688</v>
      </c>
      <c r="E5" s="1571"/>
      <c r="F5" s="1571"/>
      <c r="J5" s="619"/>
      <c r="K5" s="83"/>
      <c r="L5" s="612"/>
    </row>
    <row r="6" spans="1:14" s="611" customFormat="1" ht="22.5" customHeight="1">
      <c r="A6" s="1565"/>
      <c r="B6" s="1565"/>
      <c r="C6" s="1565"/>
      <c r="D6" s="1565"/>
      <c r="E6" s="1565"/>
      <c r="F6" s="1565"/>
      <c r="G6" s="1565"/>
      <c r="H6" s="620"/>
      <c r="I6" s="620"/>
      <c r="J6" s="621"/>
      <c r="K6" s="622"/>
      <c r="L6" s="623" t="s">
        <v>204</v>
      </c>
    </row>
    <row r="7" spans="1:14" s="611" customFormat="1" ht="69.95" customHeight="1" thickBot="1">
      <c r="A7" s="1570" t="s">
        <v>925</v>
      </c>
      <c r="B7" s="1570"/>
      <c r="C7" s="1570"/>
      <c r="D7" s="1570"/>
      <c r="E7" s="1570"/>
      <c r="F7" s="1570"/>
      <c r="G7" s="1570"/>
      <c r="H7" s="620"/>
      <c r="I7" s="620"/>
      <c r="J7" s="621"/>
      <c r="K7" s="622"/>
      <c r="L7" s="131"/>
    </row>
    <row r="8" spans="1:14" s="611" customFormat="1" ht="20.100000000000001" customHeight="1" thickBot="1">
      <c r="A8" s="1" t="s">
        <v>926</v>
      </c>
      <c r="C8" s="288">
        <v>842</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826</v>
      </c>
      <c r="D11" s="627"/>
      <c r="E11" s="627"/>
      <c r="F11" s="627"/>
      <c r="I11" s="611" t="str">
        <f>IF(C11="","×","○")</f>
        <v>○</v>
      </c>
      <c r="L11" s="131"/>
      <c r="M11" s="631">
        <v>0</v>
      </c>
      <c r="N11" s="632">
        <v>10000</v>
      </c>
    </row>
    <row r="12" spans="1:14" s="611" customFormat="1" ht="20.25" customHeight="1" thickBot="1">
      <c r="A12" s="628">
        <v>2</v>
      </c>
      <c r="B12" s="629" t="s">
        <v>931</v>
      </c>
      <c r="C12" s="288">
        <v>16</v>
      </c>
      <c r="D12" s="627"/>
      <c r="E12" s="627"/>
      <c r="F12" s="627"/>
      <c r="I12" s="611" t="str">
        <f>IF(C12="","×","○")</f>
        <v>○</v>
      </c>
      <c r="K12" s="633"/>
      <c r="L12" s="131"/>
      <c r="M12" s="625">
        <v>0</v>
      </c>
      <c r="N12" s="634">
        <v>2000</v>
      </c>
    </row>
    <row r="13" spans="1:14" s="611" customFormat="1" ht="20.25" customHeight="1" thickBot="1">
      <c r="A13" s="628">
        <v>3</v>
      </c>
      <c r="B13" s="629" t="s">
        <v>932</v>
      </c>
      <c r="C13" s="288">
        <v>0</v>
      </c>
      <c r="D13" s="627"/>
      <c r="E13" s="627"/>
      <c r="F13" s="627"/>
      <c r="I13" s="611" t="str">
        <f>IF(C13="","×","○")</f>
        <v>○</v>
      </c>
      <c r="J13" s="635"/>
      <c r="K13" s="636"/>
      <c r="L13" s="131"/>
      <c r="M13" s="625">
        <v>0</v>
      </c>
      <c r="N13" s="634">
        <v>1500</v>
      </c>
    </row>
    <row r="14" spans="1:14" s="611" customFormat="1" ht="20.25" customHeight="1">
      <c r="A14" s="637"/>
      <c r="B14" s="638" t="s">
        <v>933</v>
      </c>
      <c r="C14" s="639">
        <f>SUM(C11:C13)</f>
        <v>842</v>
      </c>
      <c r="D14" s="627"/>
      <c r="E14" s="627"/>
      <c r="F14" s="627"/>
      <c r="J14" s="635"/>
      <c r="K14" s="636"/>
      <c r="L14" s="131"/>
    </row>
    <row r="15" spans="1:14" s="611" customFormat="1" ht="20.100000000000001" customHeight="1">
      <c r="A15" s="1098" t="s">
        <v>1601</v>
      </c>
      <c r="B15" s="8"/>
      <c r="C15" s="8"/>
      <c r="D15" s="615"/>
      <c r="E15" s="615"/>
      <c r="F15" s="615"/>
      <c r="G15" s="615"/>
      <c r="H15" s="615"/>
      <c r="I15" s="615"/>
      <c r="J15" s="635"/>
      <c r="K15" s="636"/>
      <c r="L15" s="132"/>
    </row>
    <row r="16" spans="1:14" s="611" customFormat="1" ht="46.5" customHeight="1">
      <c r="A16" s="1566" t="s">
        <v>934</v>
      </c>
      <c r="B16" s="1566"/>
      <c r="C16" s="1566"/>
      <c r="D16" s="1566"/>
      <c r="E16" s="1566"/>
      <c r="F16" s="1566"/>
      <c r="G16" s="1566"/>
      <c r="H16" s="824"/>
      <c r="I16" s="640"/>
      <c r="J16" s="635"/>
      <c r="K16" s="636"/>
      <c r="L16" s="132"/>
    </row>
    <row r="17" spans="1:14">
      <c r="J17" s="635" t="s">
        <v>935</v>
      </c>
      <c r="K17" s="636"/>
      <c r="L17" s="132"/>
    </row>
    <row r="18" spans="1:14" s="611" customFormat="1" ht="20.25" customHeight="1" thickBot="1">
      <c r="A18" s="641"/>
      <c r="B18" s="642" t="s">
        <v>936</v>
      </c>
      <c r="C18" s="643" t="s">
        <v>937</v>
      </c>
      <c r="D18" s="1561" t="s">
        <v>936</v>
      </c>
      <c r="E18" s="1562"/>
      <c r="F18" s="643" t="s">
        <v>937</v>
      </c>
      <c r="J18" s="635"/>
      <c r="K18" s="636"/>
      <c r="L18" s="132"/>
    </row>
    <row r="19" spans="1:14" s="611" customFormat="1" ht="21" customHeight="1" thickBot="1">
      <c r="A19" s="644"/>
      <c r="B19" s="645" t="s">
        <v>938</v>
      </c>
      <c r="C19" s="288">
        <v>347</v>
      </c>
      <c r="D19" s="645" t="s">
        <v>939</v>
      </c>
      <c r="E19" s="645"/>
      <c r="F19" s="288">
        <v>9</v>
      </c>
      <c r="I19" s="611" t="str">
        <f t="shared" ref="I19:I25" si="0">IF(C19="","×","○")</f>
        <v>○</v>
      </c>
      <c r="J19" s="611" t="str">
        <f>IF(F19="","×","○")</f>
        <v>○</v>
      </c>
      <c r="K19" s="636"/>
      <c r="L19" s="132"/>
      <c r="M19" s="625">
        <v>0</v>
      </c>
      <c r="N19" s="634">
        <v>3000</v>
      </c>
    </row>
    <row r="20" spans="1:14" s="611" customFormat="1" ht="20.25" customHeight="1" thickBot="1">
      <c r="A20" s="644"/>
      <c r="B20" s="645" t="s">
        <v>940</v>
      </c>
      <c r="C20" s="288">
        <v>6</v>
      </c>
      <c r="D20" s="645" t="s">
        <v>941</v>
      </c>
      <c r="E20" s="645"/>
      <c r="F20" s="288">
        <v>2</v>
      </c>
      <c r="I20" s="611" t="str">
        <f t="shared" si="0"/>
        <v>○</v>
      </c>
      <c r="J20" s="611" t="str">
        <f t="shared" ref="J20:J33" si="1">IF(F20="","×","○")</f>
        <v>○</v>
      </c>
      <c r="K20" s="636"/>
      <c r="L20" s="132"/>
      <c r="M20" s="625">
        <v>0</v>
      </c>
      <c r="N20" s="634">
        <v>3000</v>
      </c>
    </row>
    <row r="21" spans="1:14" s="611" customFormat="1" ht="20.25" customHeight="1" thickBot="1">
      <c r="A21" s="644"/>
      <c r="B21" s="645" t="s">
        <v>942</v>
      </c>
      <c r="C21" s="288">
        <v>134</v>
      </c>
      <c r="D21" s="1559" t="s">
        <v>943</v>
      </c>
      <c r="E21" s="1560"/>
      <c r="F21" s="288">
        <v>2</v>
      </c>
      <c r="I21" s="611" t="str">
        <f t="shared" si="0"/>
        <v>○</v>
      </c>
      <c r="J21" s="611" t="str">
        <f t="shared" si="1"/>
        <v>○</v>
      </c>
      <c r="K21" s="636"/>
      <c r="L21" s="132"/>
      <c r="M21" s="625">
        <v>0</v>
      </c>
      <c r="N21" s="634">
        <v>3000</v>
      </c>
    </row>
    <row r="22" spans="1:14" s="611" customFormat="1" ht="20.25" customHeight="1" thickBot="1">
      <c r="A22" s="644"/>
      <c r="B22" s="1099" t="s">
        <v>1602</v>
      </c>
      <c r="C22" s="288">
        <v>0</v>
      </c>
      <c r="D22" s="1559" t="s">
        <v>944</v>
      </c>
      <c r="E22" s="1560"/>
      <c r="F22" s="288">
        <v>0</v>
      </c>
      <c r="I22" s="611" t="str">
        <f t="shared" si="0"/>
        <v>○</v>
      </c>
      <c r="J22" s="611" t="str">
        <f t="shared" si="1"/>
        <v>○</v>
      </c>
      <c r="K22" s="636"/>
      <c r="L22" s="132"/>
      <c r="M22" s="625">
        <v>0</v>
      </c>
      <c r="N22" s="634">
        <v>3000</v>
      </c>
    </row>
    <row r="23" spans="1:14" s="611" customFormat="1" ht="20.25" customHeight="1" thickBot="1">
      <c r="A23" s="644"/>
      <c r="B23" s="646" t="s">
        <v>945</v>
      </c>
      <c r="C23" s="288">
        <v>16</v>
      </c>
      <c r="D23" s="647" t="s">
        <v>946</v>
      </c>
      <c r="E23" s="648"/>
      <c r="F23" s="288">
        <v>9</v>
      </c>
      <c r="I23" s="611" t="str">
        <f t="shared" si="0"/>
        <v>○</v>
      </c>
      <c r="J23" s="611" t="str">
        <f t="shared" si="1"/>
        <v>○</v>
      </c>
      <c r="K23" s="636"/>
      <c r="L23" s="133"/>
      <c r="M23" s="625">
        <v>0</v>
      </c>
      <c r="N23" s="634">
        <v>3000</v>
      </c>
    </row>
    <row r="24" spans="1:14" s="611" customFormat="1" ht="20.25" customHeight="1" thickBot="1">
      <c r="A24" s="644"/>
      <c r="B24" s="646" t="s">
        <v>947</v>
      </c>
      <c r="C24" s="288">
        <v>0</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0</v>
      </c>
      <c r="D25" s="647" t="s">
        <v>950</v>
      </c>
      <c r="E25" s="645"/>
      <c r="F25" s="288">
        <v>0</v>
      </c>
      <c r="I25" s="611" t="str">
        <f t="shared" si="0"/>
        <v>○</v>
      </c>
      <c r="J25" s="611" t="str">
        <f t="shared" si="1"/>
        <v>○</v>
      </c>
      <c r="K25" s="636"/>
      <c r="L25" s="132"/>
      <c r="M25" s="625">
        <v>0</v>
      </c>
      <c r="N25" s="634">
        <v>3000</v>
      </c>
    </row>
    <row r="26" spans="1:14" s="611" customFormat="1" ht="24" customHeight="1" thickBot="1">
      <c r="A26" s="644"/>
      <c r="B26" s="645" t="s">
        <v>951</v>
      </c>
      <c r="C26" s="288">
        <v>1</v>
      </c>
      <c r="D26" s="647" t="s">
        <v>952</v>
      </c>
      <c r="E26" s="645"/>
      <c r="F26" s="288">
        <v>98</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115</v>
      </c>
      <c r="I27" s="611" t="str">
        <f t="shared" si="2"/>
        <v>○</v>
      </c>
      <c r="J27" s="611" t="str">
        <f t="shared" si="1"/>
        <v>○</v>
      </c>
      <c r="K27" s="636"/>
      <c r="L27" s="132"/>
      <c r="M27" s="625">
        <v>0</v>
      </c>
      <c r="N27" s="634">
        <v>3000</v>
      </c>
    </row>
    <row r="28" spans="1:14" s="611" customFormat="1" ht="24" customHeight="1" thickBot="1">
      <c r="A28" s="644"/>
      <c r="B28" s="645" t="s">
        <v>955</v>
      </c>
      <c r="C28" s="288">
        <v>0</v>
      </c>
      <c r="D28" s="647" t="s">
        <v>956</v>
      </c>
      <c r="E28" s="645"/>
      <c r="F28" s="288">
        <v>6</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7</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4</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1</v>
      </c>
      <c r="D32" s="647" t="s">
        <v>964</v>
      </c>
      <c r="E32" s="645"/>
      <c r="F32" s="288">
        <v>12</v>
      </c>
      <c r="I32" s="611" t="str">
        <f t="shared" si="2"/>
        <v>○</v>
      </c>
      <c r="J32" s="611" t="str">
        <f t="shared" si="1"/>
        <v>○</v>
      </c>
      <c r="K32" s="633"/>
      <c r="L32" s="132"/>
      <c r="M32" s="625">
        <v>0</v>
      </c>
      <c r="N32" s="634">
        <v>3000</v>
      </c>
    </row>
    <row r="33" spans="1:14" s="611" customFormat="1" ht="24" customHeight="1" thickBot="1">
      <c r="A33" s="644"/>
      <c r="B33" s="645" t="s">
        <v>965</v>
      </c>
      <c r="C33" s="288">
        <v>1</v>
      </c>
      <c r="D33" s="647" t="s">
        <v>966</v>
      </c>
      <c r="E33" s="645"/>
      <c r="F33" s="288">
        <v>0</v>
      </c>
      <c r="I33" s="611" t="str">
        <f t="shared" si="2"/>
        <v>○</v>
      </c>
      <c r="J33" s="611" t="str">
        <f t="shared" si="1"/>
        <v>○</v>
      </c>
      <c r="K33" s="633"/>
      <c r="L33" s="132"/>
      <c r="M33" s="625">
        <v>0</v>
      </c>
      <c r="N33" s="634">
        <v>3000</v>
      </c>
    </row>
    <row r="34" spans="1:14" s="611" customFormat="1" ht="24" customHeight="1" thickBot="1">
      <c r="A34" s="644"/>
      <c r="B34" s="645" t="s">
        <v>967</v>
      </c>
      <c r="C34" s="288">
        <v>0</v>
      </c>
      <c r="D34" s="1557"/>
      <c r="E34" s="1558"/>
      <c r="F34" s="288"/>
      <c r="I34" s="611" t="str">
        <f t="shared" si="2"/>
        <v>○</v>
      </c>
      <c r="K34" s="633"/>
      <c r="L34" s="132"/>
      <c r="M34" s="625">
        <v>0</v>
      </c>
      <c r="N34" s="634">
        <v>3000</v>
      </c>
    </row>
    <row r="35" spans="1:14" s="611" customFormat="1" ht="24" customHeight="1" thickBot="1">
      <c r="A35" s="644"/>
      <c r="B35" s="645" t="s">
        <v>968</v>
      </c>
      <c r="C35" s="288">
        <v>30</v>
      </c>
      <c r="D35" s="1557"/>
      <c r="E35" s="1558"/>
      <c r="F35" s="288"/>
      <c r="I35" s="611" t="str">
        <f t="shared" si="2"/>
        <v>○</v>
      </c>
      <c r="K35" s="633"/>
      <c r="L35" s="132"/>
      <c r="M35" s="625">
        <v>0</v>
      </c>
      <c r="N35" s="634">
        <v>3000</v>
      </c>
    </row>
    <row r="36" spans="1:14" s="627" customFormat="1" ht="24" customHeight="1" thickBot="1">
      <c r="A36" s="644"/>
      <c r="B36" s="645" t="s">
        <v>969</v>
      </c>
      <c r="C36" s="288">
        <v>58</v>
      </c>
      <c r="D36" s="1557"/>
      <c r="E36" s="1558"/>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D11" sqref="D11:M11"/>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2" t="s">
        <v>996</v>
      </c>
      <c r="B1" s="1572"/>
      <c r="C1" s="1572"/>
      <c r="D1" s="1572"/>
      <c r="E1" s="1572"/>
      <c r="F1" s="1572"/>
      <c r="G1" s="1572"/>
      <c r="H1" s="1572"/>
      <c r="I1" s="1572"/>
      <c r="J1" s="1572"/>
      <c r="K1" s="1572"/>
      <c r="L1" s="1572"/>
      <c r="M1" s="1572"/>
      <c r="N1" s="1572"/>
      <c r="O1" s="1572"/>
      <c r="P1" s="1572"/>
      <c r="Q1" s="1572"/>
      <c r="R1" s="1572"/>
      <c r="S1" s="1572"/>
      <c r="T1" s="1572"/>
      <c r="U1" s="1572"/>
      <c r="V1" s="1572"/>
      <c r="W1" s="1572"/>
      <c r="Z1" s="83"/>
      <c r="AA1" s="612"/>
      <c r="AB1" s="654"/>
      <c r="AC1" s="655"/>
      <c r="AD1" s="656"/>
      <c r="AE1" s="656"/>
      <c r="AF1" s="656"/>
      <c r="AG1" s="656"/>
      <c r="AH1" s="656"/>
      <c r="AI1" s="656"/>
      <c r="AJ1" s="656"/>
      <c r="AK1" s="656"/>
    </row>
    <row r="2" spans="1:38" s="653" customFormat="1" ht="24.95" customHeight="1" thickTop="1" thickBot="1">
      <c r="A2" s="1277" t="s">
        <v>832</v>
      </c>
      <c r="B2" s="1277"/>
      <c r="C2" s="1277"/>
      <c r="D2" s="1277"/>
      <c r="E2" s="1277"/>
      <c r="F2" s="1277"/>
      <c r="G2" s="1277"/>
      <c r="H2" s="1277"/>
      <c r="I2" s="1277"/>
      <c r="J2" s="1277"/>
      <c r="K2" s="1277"/>
      <c r="L2" s="1277"/>
      <c r="M2" s="1277"/>
      <c r="N2" s="1277"/>
      <c r="O2" s="1277"/>
      <c r="P2" s="1277"/>
      <c r="Q2" s="1277"/>
      <c r="R2" s="1277"/>
      <c r="S2" s="1277"/>
      <c r="T2" s="1277"/>
      <c r="U2" s="1277"/>
      <c r="V2" s="1296"/>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80"/>
      <c r="AG3" s="1580"/>
      <c r="AH3" s="1580"/>
      <c r="AI3" s="1580"/>
      <c r="AJ3" s="1580"/>
      <c r="AK3" s="1580"/>
      <c r="AL3" s="1580"/>
    </row>
    <row r="4" spans="1:38" ht="20.25" customHeight="1">
      <c r="D4" s="454" t="s">
        <v>725</v>
      </c>
      <c r="E4" s="1278" t="str">
        <f>表紙!E2</f>
        <v>社会医療法人生長会　ベルランド総合病院</v>
      </c>
      <c r="F4" s="1581"/>
      <c r="G4" s="1581"/>
      <c r="H4" s="1581"/>
      <c r="I4" s="1581"/>
      <c r="J4" s="1581"/>
      <c r="K4" s="1581"/>
      <c r="L4" s="1581"/>
      <c r="M4" s="1581"/>
      <c r="N4" s="1581"/>
      <c r="O4" s="1581"/>
      <c r="P4" s="1581"/>
      <c r="Q4" s="1581"/>
      <c r="R4" s="1581"/>
      <c r="S4" s="1581"/>
      <c r="T4" s="1581"/>
      <c r="U4" s="1581"/>
      <c r="V4" s="1581"/>
      <c r="W4" s="1279"/>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55" t="s">
        <v>663</v>
      </c>
      <c r="D6" s="1456"/>
      <c r="E6" s="1456"/>
      <c r="F6" s="1456"/>
      <c r="G6" s="1456"/>
      <c r="H6" s="1456"/>
      <c r="I6" s="1456"/>
      <c r="J6" s="1456"/>
      <c r="K6" s="1456"/>
      <c r="L6" s="1456"/>
      <c r="M6" s="1456"/>
      <c r="N6" s="1456"/>
      <c r="O6" s="1456"/>
      <c r="P6" s="1456"/>
      <c r="Q6" s="1456"/>
      <c r="R6" s="1456"/>
      <c r="S6" s="1456"/>
      <c r="T6" s="1456"/>
      <c r="U6" s="1456"/>
      <c r="V6" s="1456"/>
      <c r="W6" s="1457"/>
      <c r="X6" s="621"/>
      <c r="Y6" s="621" t="str">
        <f>IF(C6="","×","○")</f>
        <v>○</v>
      </c>
      <c r="Z6" s="663"/>
      <c r="AA6" s="125"/>
      <c r="AB6" s="664"/>
    </row>
    <row r="7" spans="1:38" ht="25.5" customHeight="1" thickBot="1">
      <c r="A7" s="510">
        <v>2</v>
      </c>
      <c r="B7" s="1582" t="s">
        <v>998</v>
      </c>
      <c r="C7" s="1583"/>
      <c r="D7" s="1573" t="s">
        <v>1764</v>
      </c>
      <c r="E7" s="1574"/>
      <c r="F7" s="1574"/>
      <c r="G7" s="1574"/>
      <c r="H7" s="1574"/>
      <c r="I7" s="1574"/>
      <c r="J7" s="1574"/>
      <c r="K7" s="1574"/>
      <c r="L7" s="1574"/>
      <c r="M7" s="1575"/>
      <c r="N7" s="1380" t="s">
        <v>848</v>
      </c>
      <c r="O7" s="1380"/>
      <c r="P7" s="1380"/>
      <c r="Q7" s="1373"/>
      <c r="R7" s="1374"/>
      <c r="S7" s="1374"/>
      <c r="T7" s="1374"/>
      <c r="U7" s="1374"/>
      <c r="V7" s="1374"/>
      <c r="W7" s="1375"/>
      <c r="X7" s="611"/>
      <c r="Y7" s="621" t="str">
        <f>IF(D7="","×","○")</f>
        <v>○</v>
      </c>
      <c r="AA7" s="125"/>
      <c r="AB7" s="664"/>
    </row>
    <row r="8" spans="1:38" ht="25.5" customHeight="1" thickBot="1">
      <c r="A8" s="1545">
        <v>3</v>
      </c>
      <c r="B8" s="665" t="s">
        <v>999</v>
      </c>
      <c r="C8" s="36" t="s">
        <v>1850</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5"/>
      <c r="B9" s="669" t="s">
        <v>1000</v>
      </c>
      <c r="C9" s="36" t="s">
        <v>1851</v>
      </c>
      <c r="D9" s="670"/>
      <c r="W9" s="521"/>
      <c r="X9" s="611"/>
      <c r="Y9" s="621" t="str">
        <f>IF(AND(C8="実施",C9=""),"×","○")</f>
        <v>○</v>
      </c>
      <c r="AA9" s="135"/>
      <c r="AB9" s="463"/>
    </row>
    <row r="10" spans="1:38" ht="25.5" customHeight="1" thickBot="1">
      <c r="A10" s="1545">
        <v>4</v>
      </c>
      <c r="B10" s="671" t="s">
        <v>1001</v>
      </c>
      <c r="C10" s="36" t="s">
        <v>1850</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5"/>
      <c r="B11" s="1576" t="s">
        <v>1002</v>
      </c>
      <c r="C11" s="1577"/>
      <c r="D11" s="1573" t="s">
        <v>1764</v>
      </c>
      <c r="E11" s="1574"/>
      <c r="F11" s="1574"/>
      <c r="G11" s="1574"/>
      <c r="H11" s="1574"/>
      <c r="I11" s="1574"/>
      <c r="J11" s="1574"/>
      <c r="K11" s="1574"/>
      <c r="L11" s="1574"/>
      <c r="M11" s="1575"/>
      <c r="N11" s="1370" t="s">
        <v>848</v>
      </c>
      <c r="O11" s="1371"/>
      <c r="P11" s="1372"/>
      <c r="Q11" s="1373"/>
      <c r="R11" s="1374"/>
      <c r="S11" s="1374"/>
      <c r="T11" s="1374"/>
      <c r="U11" s="1374"/>
      <c r="V11" s="1374"/>
      <c r="W11" s="1375"/>
      <c r="Y11" s="621" t="str">
        <f>IF(AND(C10="実施",D11=""),"×","○")</f>
        <v>○</v>
      </c>
      <c r="AA11" s="135"/>
      <c r="AB11" s="664"/>
    </row>
    <row r="12" spans="1:38" ht="25.5" customHeight="1" thickBot="1">
      <c r="A12" s="1545"/>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5"/>
      <c r="B13" s="677" t="s">
        <v>1004</v>
      </c>
      <c r="C13" s="36" t="s">
        <v>1852</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5"/>
      <c r="B14" s="1576" t="s">
        <v>1005</v>
      </c>
      <c r="C14" s="1577"/>
      <c r="D14" s="1573"/>
      <c r="E14" s="1574"/>
      <c r="F14" s="1574"/>
      <c r="G14" s="1574"/>
      <c r="H14" s="1574"/>
      <c r="I14" s="1574"/>
      <c r="J14" s="1574"/>
      <c r="K14" s="1574"/>
      <c r="L14" s="1574"/>
      <c r="M14" s="1574"/>
      <c r="N14" s="1574"/>
      <c r="O14" s="1574"/>
      <c r="P14" s="1574"/>
      <c r="Q14" s="1574"/>
      <c r="R14" s="1574"/>
      <c r="S14" s="1574"/>
      <c r="T14" s="1574"/>
      <c r="U14" s="1574"/>
      <c r="V14" s="1574"/>
      <c r="W14" s="1575"/>
      <c r="Y14" s="621" t="str">
        <f>IF(AND(C13="実施",D14=""),"×","○")</f>
        <v>○</v>
      </c>
      <c r="AA14" s="135"/>
      <c r="AB14" s="463"/>
    </row>
    <row r="15" spans="1:38" ht="25.5" customHeight="1" thickBot="1">
      <c r="A15" s="1545"/>
      <c r="B15" s="681" t="s">
        <v>1006</v>
      </c>
      <c r="C15" s="36" t="s">
        <v>1852</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5"/>
      <c r="B16" s="1578" t="s">
        <v>1007</v>
      </c>
      <c r="C16" s="1579"/>
      <c r="D16" s="1455"/>
      <c r="E16" s="1456"/>
      <c r="F16" s="1456"/>
      <c r="G16" s="1456"/>
      <c r="H16" s="1456"/>
      <c r="I16" s="1456"/>
      <c r="J16" s="1456"/>
      <c r="K16" s="1456"/>
      <c r="L16" s="1456"/>
      <c r="M16" s="1456"/>
      <c r="N16" s="1456"/>
      <c r="O16" s="1456"/>
      <c r="P16" s="1456"/>
      <c r="Q16" s="1456"/>
      <c r="R16" s="1456"/>
      <c r="S16" s="1456"/>
      <c r="T16" s="1456"/>
      <c r="U16" s="1456"/>
      <c r="V16" s="1456"/>
      <c r="W16" s="1457"/>
      <c r="Y16" s="621" t="str">
        <f>IF(AND(C15="実施",D16=""),"×","○")</f>
        <v>○</v>
      </c>
      <c r="AA16" s="135"/>
      <c r="AB16" s="664"/>
    </row>
    <row r="17" spans="1:28" ht="25.5" customHeight="1" thickBot="1">
      <c r="A17" s="1545"/>
      <c r="B17" s="684" t="s">
        <v>1008</v>
      </c>
      <c r="C17" s="36" t="s">
        <v>1852</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5" t="s">
        <v>1009</v>
      </c>
      <c r="B1" s="1275"/>
      <c r="C1" s="1275"/>
      <c r="D1" s="1275"/>
      <c r="E1" s="1275"/>
      <c r="F1" s="1275"/>
      <c r="G1" s="1275"/>
      <c r="H1" s="1275"/>
      <c r="I1" s="1275"/>
      <c r="L1" s="83"/>
      <c r="M1" s="148"/>
    </row>
    <row r="2" spans="1:13" s="685" customFormat="1" ht="24.95" customHeight="1" thickTop="1" thickBot="1">
      <c r="A2" s="1334" t="s">
        <v>877</v>
      </c>
      <c r="B2" s="1334"/>
      <c r="C2" s="1334"/>
      <c r="D2" s="1334"/>
      <c r="E2" s="1334"/>
      <c r="F2" s="1334"/>
      <c r="G2" s="1334"/>
      <c r="H2" s="1335"/>
      <c r="I2" s="388" t="str">
        <f>IF(COUNTIF(K:K,"×")&gt;=1,"未入力あり","入力済")</f>
        <v>入力済</v>
      </c>
      <c r="J2" s="1270"/>
      <c r="K2" s="452"/>
      <c r="L2" s="83"/>
      <c r="M2" s="148"/>
    </row>
    <row r="3" spans="1:13" ht="4.7" customHeight="1" thickTop="1">
      <c r="F3" s="686"/>
      <c r="G3" s="686"/>
      <c r="H3" s="686"/>
      <c r="J3" s="1270"/>
      <c r="K3" s="452"/>
      <c r="L3" s="51"/>
    </row>
    <row r="4" spans="1:13" ht="20.100000000000001" customHeight="1">
      <c r="E4" s="454" t="s">
        <v>725</v>
      </c>
      <c r="F4" s="1607" t="str">
        <f>表紙!E2</f>
        <v>社会医療法人生長会　ベルランド総合病院</v>
      </c>
      <c r="G4" s="1608"/>
      <c r="H4" s="1608"/>
      <c r="I4" s="1609"/>
      <c r="J4" s="1270"/>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584" t="s">
        <v>1010</v>
      </c>
      <c r="B6" s="1584"/>
      <c r="C6" s="1584"/>
      <c r="D6" s="1584"/>
      <c r="E6" s="1584"/>
      <c r="F6" s="1584"/>
      <c r="G6" s="1584"/>
      <c r="H6" s="1584"/>
      <c r="I6" s="1584"/>
      <c r="J6" s="688"/>
      <c r="K6" s="688"/>
      <c r="M6" s="74"/>
    </row>
    <row r="7" spans="1:13" ht="72.75" customHeight="1">
      <c r="A7" s="1591" t="s">
        <v>1670</v>
      </c>
      <c r="B7" s="1591"/>
      <c r="C7" s="1591"/>
      <c r="D7" s="1591"/>
      <c r="E7" s="1591"/>
      <c r="F7" s="1591"/>
      <c r="G7" s="1591"/>
      <c r="H7" s="1592"/>
      <c r="I7" s="688"/>
      <c r="J7" s="688"/>
      <c r="M7" s="74"/>
    </row>
    <row r="8" spans="1:13" ht="42.75" customHeight="1">
      <c r="A8" s="689"/>
      <c r="B8" s="1101" t="s">
        <v>1603</v>
      </c>
      <c r="C8" s="1593" t="s">
        <v>1012</v>
      </c>
      <c r="D8" s="1594"/>
      <c r="E8" s="690" t="s">
        <v>1011</v>
      </c>
      <c r="F8" s="1587" t="s">
        <v>1013</v>
      </c>
      <c r="G8" s="1588"/>
      <c r="H8" s="690" t="s">
        <v>1014</v>
      </c>
      <c r="M8" s="128"/>
    </row>
    <row r="9" spans="1:13" s="694" customFormat="1" ht="15" customHeight="1">
      <c r="A9" s="691" t="s">
        <v>1015</v>
      </c>
      <c r="B9" s="692" t="s">
        <v>1016</v>
      </c>
      <c r="C9" s="1585" t="s">
        <v>1017</v>
      </c>
      <c r="D9" s="1586"/>
      <c r="E9" s="693">
        <v>3</v>
      </c>
      <c r="F9" s="1589">
        <v>2</v>
      </c>
      <c r="G9" s="1590"/>
      <c r="H9" s="693">
        <v>3</v>
      </c>
      <c r="K9" s="387"/>
      <c r="L9" s="695"/>
      <c r="M9" s="74"/>
    </row>
    <row r="10" spans="1:13" s="694" customFormat="1" ht="15" customHeight="1" thickBot="1">
      <c r="A10" s="696" t="s">
        <v>1015</v>
      </c>
      <c r="B10" s="697" t="s">
        <v>1018</v>
      </c>
      <c r="C10" s="1585" t="s">
        <v>1019</v>
      </c>
      <c r="D10" s="1586"/>
      <c r="E10" s="693">
        <v>2</v>
      </c>
      <c r="F10" s="1589">
        <v>1</v>
      </c>
      <c r="G10" s="1590"/>
      <c r="H10" s="693">
        <v>2</v>
      </c>
      <c r="K10" s="387"/>
      <c r="L10" s="695"/>
      <c r="M10" s="74"/>
    </row>
    <row r="11" spans="1:13" ht="22.5" customHeight="1" thickBot="1">
      <c r="A11" s="510">
        <v>1</v>
      </c>
      <c r="B11" s="698" t="s">
        <v>1020</v>
      </c>
      <c r="C11" s="1617" t="s">
        <v>1017</v>
      </c>
      <c r="D11" s="1618"/>
      <c r="E11" s="54">
        <v>0</v>
      </c>
      <c r="F11" s="1615">
        <v>0</v>
      </c>
      <c r="G11" s="1616"/>
      <c r="H11" s="54">
        <v>0</v>
      </c>
      <c r="K11" s="387" t="str">
        <f>IF(AND(E11&lt;&gt;"",F11&lt;&gt;"",H11&lt;&gt;""),"○","×")</f>
        <v>○</v>
      </c>
      <c r="M11" s="74"/>
    </row>
    <row r="12" spans="1:13" ht="22.5" customHeight="1" thickBot="1">
      <c r="A12" s="510">
        <v>2</v>
      </c>
      <c r="B12" s="698" t="s">
        <v>1020</v>
      </c>
      <c r="C12" s="1617" t="s">
        <v>1019</v>
      </c>
      <c r="D12" s="1618"/>
      <c r="E12" s="54">
        <v>4</v>
      </c>
      <c r="F12" s="1615">
        <v>4</v>
      </c>
      <c r="G12" s="1616"/>
      <c r="H12" s="54">
        <v>0</v>
      </c>
      <c r="K12" s="387" t="str">
        <f t="shared" ref="K12:K19" si="0">IF(AND(E12&lt;&gt;"",F12&lt;&gt;"",H12&lt;&gt;""),"○","×")</f>
        <v>○</v>
      </c>
      <c r="M12" s="74"/>
    </row>
    <row r="13" spans="1:13" ht="22.5" customHeight="1" thickBot="1">
      <c r="A13" s="510">
        <v>3</v>
      </c>
      <c r="B13" s="698" t="s">
        <v>1020</v>
      </c>
      <c r="C13" s="1617" t="s">
        <v>1021</v>
      </c>
      <c r="D13" s="1618"/>
      <c r="E13" s="54">
        <v>0</v>
      </c>
      <c r="F13" s="1615">
        <v>0</v>
      </c>
      <c r="G13" s="1616"/>
      <c r="H13" s="54">
        <v>0</v>
      </c>
      <c r="K13" s="387" t="str">
        <f t="shared" si="0"/>
        <v>○</v>
      </c>
      <c r="M13" s="74"/>
    </row>
    <row r="14" spans="1:13" ht="22.5" customHeight="1" thickBot="1">
      <c r="A14" s="510">
        <v>4</v>
      </c>
      <c r="B14" s="698" t="s">
        <v>1022</v>
      </c>
      <c r="C14" s="1617" t="s">
        <v>1017</v>
      </c>
      <c r="D14" s="1618"/>
      <c r="E14" s="54">
        <v>0</v>
      </c>
      <c r="F14" s="1615">
        <v>0</v>
      </c>
      <c r="G14" s="1616"/>
      <c r="H14" s="54">
        <v>0</v>
      </c>
      <c r="K14" s="387" t="str">
        <f t="shared" si="0"/>
        <v>○</v>
      </c>
      <c r="M14" s="74"/>
    </row>
    <row r="15" spans="1:13" ht="22.5" customHeight="1" thickBot="1">
      <c r="A15" s="510">
        <v>5</v>
      </c>
      <c r="B15" s="698" t="s">
        <v>1022</v>
      </c>
      <c r="C15" s="1617" t="s">
        <v>1019</v>
      </c>
      <c r="D15" s="1618"/>
      <c r="E15" s="54">
        <v>0</v>
      </c>
      <c r="F15" s="1615">
        <v>0</v>
      </c>
      <c r="G15" s="1616"/>
      <c r="H15" s="54">
        <v>0</v>
      </c>
      <c r="K15" s="387" t="str">
        <f>IF(AND(E15&lt;&gt;"",F15&lt;&gt;"",H15&lt;&gt;""),"○","×")</f>
        <v>○</v>
      </c>
      <c r="M15" s="74"/>
    </row>
    <row r="16" spans="1:13" ht="22.5" customHeight="1" thickBot="1">
      <c r="A16" s="510">
        <v>6</v>
      </c>
      <c r="B16" s="698" t="s">
        <v>1022</v>
      </c>
      <c r="C16" s="1617" t="s">
        <v>1021</v>
      </c>
      <c r="D16" s="1618"/>
      <c r="E16" s="54">
        <v>0</v>
      </c>
      <c r="F16" s="1615">
        <v>0</v>
      </c>
      <c r="G16" s="1616"/>
      <c r="H16" s="54">
        <v>0</v>
      </c>
      <c r="K16" s="387" t="str">
        <f t="shared" si="0"/>
        <v>○</v>
      </c>
      <c r="M16" s="74"/>
    </row>
    <row r="17" spans="1:13" ht="22.5" customHeight="1" thickBot="1">
      <c r="A17" s="510">
        <v>7</v>
      </c>
      <c r="B17" s="698" t="s">
        <v>1023</v>
      </c>
      <c r="C17" s="1617" t="s">
        <v>1017</v>
      </c>
      <c r="D17" s="1618"/>
      <c r="E17" s="54">
        <v>1</v>
      </c>
      <c r="F17" s="1615">
        <v>1</v>
      </c>
      <c r="G17" s="1616"/>
      <c r="H17" s="54">
        <v>0</v>
      </c>
      <c r="K17" s="387" t="str">
        <f t="shared" si="0"/>
        <v>○</v>
      </c>
      <c r="M17" s="74"/>
    </row>
    <row r="18" spans="1:13" ht="22.5" customHeight="1" thickBot="1">
      <c r="A18" s="510">
        <v>8</v>
      </c>
      <c r="B18" s="699" t="s">
        <v>1023</v>
      </c>
      <c r="C18" s="1617" t="s">
        <v>1019</v>
      </c>
      <c r="D18" s="1618"/>
      <c r="E18" s="54">
        <v>4</v>
      </c>
      <c r="F18" s="1615">
        <v>4</v>
      </c>
      <c r="G18" s="1616"/>
      <c r="H18" s="54">
        <v>0</v>
      </c>
      <c r="K18" s="387" t="str">
        <f t="shared" si="0"/>
        <v>○</v>
      </c>
      <c r="M18" s="74"/>
    </row>
    <row r="19" spans="1:13" ht="22.5" customHeight="1" thickBot="1">
      <c r="A19" s="510">
        <v>9</v>
      </c>
      <c r="B19" s="699" t="s">
        <v>1023</v>
      </c>
      <c r="C19" s="1613" t="s">
        <v>1021</v>
      </c>
      <c r="D19" s="1614"/>
      <c r="E19" s="54">
        <v>0</v>
      </c>
      <c r="F19" s="1615">
        <v>0</v>
      </c>
      <c r="G19" s="1616"/>
      <c r="H19" s="54">
        <v>0</v>
      </c>
      <c r="K19" s="387" t="str">
        <f t="shared" si="0"/>
        <v>○</v>
      </c>
      <c r="M19" s="74"/>
    </row>
    <row r="20" spans="1:13" ht="22.5" customHeight="1" thickBot="1">
      <c r="A20" s="510">
        <v>10</v>
      </c>
      <c r="B20" s="102"/>
      <c r="C20" s="1611"/>
      <c r="D20" s="1612"/>
      <c r="E20" s="54"/>
      <c r="F20" s="1615"/>
      <c r="G20" s="1616"/>
      <c r="H20" s="54"/>
      <c r="M20" s="74"/>
    </row>
    <row r="21" spans="1:13" ht="22.5" customHeight="1" thickBot="1">
      <c r="A21" s="510">
        <v>11</v>
      </c>
      <c r="B21" s="102"/>
      <c r="C21" s="1611"/>
      <c r="D21" s="1612"/>
      <c r="E21" s="54"/>
      <c r="F21" s="1615"/>
      <c r="G21" s="1616"/>
      <c r="H21" s="54"/>
      <c r="M21" s="74"/>
    </row>
    <row r="22" spans="1:13" ht="22.5" customHeight="1" thickBot="1">
      <c r="A22" s="510">
        <v>12</v>
      </c>
      <c r="B22" s="102"/>
      <c r="C22" s="1611"/>
      <c r="D22" s="1612"/>
      <c r="E22" s="54"/>
      <c r="F22" s="1615"/>
      <c r="G22" s="1616"/>
      <c r="H22" s="54"/>
      <c r="M22" s="74"/>
    </row>
    <row r="23" spans="1:13" ht="22.5" customHeight="1" thickBot="1">
      <c r="A23" s="510">
        <v>13</v>
      </c>
      <c r="B23" s="102"/>
      <c r="C23" s="1611"/>
      <c r="D23" s="1612"/>
      <c r="E23" s="54"/>
      <c r="F23" s="1615"/>
      <c r="G23" s="1616"/>
      <c r="H23" s="54"/>
      <c r="M23" s="74"/>
    </row>
    <row r="24" spans="1:13" ht="22.5" customHeight="1" thickBot="1">
      <c r="A24" s="510">
        <v>14</v>
      </c>
      <c r="B24" s="102"/>
      <c r="C24" s="1611"/>
      <c r="D24" s="1612"/>
      <c r="E24" s="54"/>
      <c r="F24" s="1615"/>
      <c r="G24" s="1616"/>
      <c r="H24" s="54"/>
      <c r="M24" s="74"/>
    </row>
    <row r="25" spans="1:13" ht="22.5" customHeight="1" thickBot="1">
      <c r="A25" s="510">
        <v>15</v>
      </c>
      <c r="B25" s="102"/>
      <c r="C25" s="1611"/>
      <c r="D25" s="1612"/>
      <c r="E25" s="54"/>
      <c r="F25" s="1615"/>
      <c r="G25" s="1616"/>
      <c r="H25" s="54"/>
      <c r="M25" s="74"/>
    </row>
    <row r="26" spans="1:13" ht="22.5" customHeight="1" thickBot="1">
      <c r="A26" s="510">
        <v>16</v>
      </c>
      <c r="B26" s="102"/>
      <c r="C26" s="1611"/>
      <c r="D26" s="1612"/>
      <c r="E26" s="54"/>
      <c r="F26" s="1615"/>
      <c r="G26" s="1616"/>
      <c r="H26" s="54"/>
      <c r="M26" s="74"/>
    </row>
    <row r="27" spans="1:13" ht="22.5" customHeight="1" thickBot="1">
      <c r="A27" s="510">
        <v>17</v>
      </c>
      <c r="B27" s="102"/>
      <c r="C27" s="1611"/>
      <c r="D27" s="1612"/>
      <c r="E27" s="54"/>
      <c r="F27" s="1615"/>
      <c r="G27" s="1616"/>
      <c r="H27" s="54"/>
      <c r="M27" s="74"/>
    </row>
    <row r="28" spans="1:13" ht="22.5" customHeight="1" thickBot="1">
      <c r="A28" s="510">
        <v>18</v>
      </c>
      <c r="B28" s="102"/>
      <c r="C28" s="1611"/>
      <c r="D28" s="1612"/>
      <c r="E28" s="54"/>
      <c r="F28" s="1615"/>
      <c r="G28" s="1616"/>
      <c r="H28" s="54"/>
      <c r="M28" s="74"/>
    </row>
    <row r="29" spans="1:13" ht="22.5" customHeight="1" thickBot="1">
      <c r="A29" s="510">
        <v>19</v>
      </c>
      <c r="B29" s="102"/>
      <c r="C29" s="1611"/>
      <c r="D29" s="1612"/>
      <c r="E29" s="54"/>
      <c r="F29" s="1615"/>
      <c r="G29" s="1616"/>
      <c r="H29" s="54"/>
      <c r="M29" s="74"/>
    </row>
    <row r="30" spans="1:13" ht="22.5" customHeight="1" thickBot="1">
      <c r="A30" s="510">
        <v>20</v>
      </c>
      <c r="B30" s="102"/>
      <c r="C30" s="1611"/>
      <c r="D30" s="1612"/>
      <c r="E30" s="54"/>
      <c r="F30" s="1615"/>
      <c r="G30" s="1616"/>
      <c r="H30" s="54"/>
      <c r="M30" s="125"/>
    </row>
    <row r="31" spans="1:13" ht="33" customHeight="1">
      <c r="A31" s="1610" t="s">
        <v>1024</v>
      </c>
      <c r="B31" s="1610"/>
      <c r="C31" s="1610"/>
      <c r="D31" s="1610"/>
      <c r="E31" s="1610"/>
      <c r="F31" s="1610"/>
      <c r="G31" s="1610"/>
      <c r="H31" s="1610"/>
      <c r="I31" s="1610"/>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95" t="s">
        <v>1028</v>
      </c>
      <c r="B34" s="1596"/>
      <c r="C34" s="1596"/>
      <c r="D34" s="1596"/>
      <c r="E34" s="1596"/>
      <c r="F34" s="1596"/>
      <c r="G34" s="1596"/>
      <c r="H34" s="1597"/>
      <c r="M34" s="74"/>
    </row>
    <row r="35" spans="1:13" ht="20.100000000000001" customHeight="1">
      <c r="A35" s="1598" t="s">
        <v>1898</v>
      </c>
      <c r="B35" s="1599"/>
      <c r="C35" s="1599"/>
      <c r="D35" s="1599"/>
      <c r="E35" s="1599"/>
      <c r="F35" s="1599"/>
      <c r="G35" s="1599"/>
      <c r="H35" s="1600"/>
      <c r="K35" s="387" t="str">
        <f>IF(A35="","×","○")</f>
        <v>○</v>
      </c>
      <c r="M35" s="74"/>
    </row>
    <row r="36" spans="1:13" ht="20.100000000000001" customHeight="1">
      <c r="A36" s="1601"/>
      <c r="B36" s="1602"/>
      <c r="C36" s="1602"/>
      <c r="D36" s="1602"/>
      <c r="E36" s="1602"/>
      <c r="F36" s="1602"/>
      <c r="G36" s="1602"/>
      <c r="H36" s="1603"/>
      <c r="M36" s="74"/>
    </row>
    <row r="37" spans="1:13" ht="20.100000000000001" customHeight="1">
      <c r="A37" s="1601"/>
      <c r="B37" s="1602"/>
      <c r="C37" s="1602"/>
      <c r="D37" s="1602"/>
      <c r="E37" s="1602"/>
      <c r="F37" s="1602"/>
      <c r="G37" s="1602"/>
      <c r="H37" s="1603"/>
      <c r="M37" s="74"/>
    </row>
    <row r="38" spans="1:13" ht="20.100000000000001" customHeight="1" thickBot="1">
      <c r="A38" s="1604"/>
      <c r="B38" s="1605"/>
      <c r="C38" s="1605"/>
      <c r="D38" s="1605"/>
      <c r="E38" s="1605"/>
      <c r="F38" s="1605"/>
      <c r="G38" s="1605"/>
      <c r="H38" s="1606"/>
      <c r="M38" s="74"/>
    </row>
    <row r="39" spans="1:13" ht="24" customHeight="1">
      <c r="A39" s="1610" t="s">
        <v>1029</v>
      </c>
      <c r="B39" s="1610"/>
      <c r="C39" s="1610"/>
      <c r="D39" s="1610"/>
      <c r="E39" s="1610"/>
      <c r="F39" s="1610"/>
      <c r="G39" s="1610"/>
      <c r="H39" s="1610"/>
      <c r="I39" s="1610"/>
      <c r="J39" s="700"/>
      <c r="L39" s="406" t="s">
        <v>1025</v>
      </c>
      <c r="M39" s="74"/>
    </row>
    <row r="40" spans="1:13" ht="20.100000000000001" customHeight="1" thickBot="1">
      <c r="A40" s="1595" t="s">
        <v>1030</v>
      </c>
      <c r="B40" s="1596"/>
      <c r="C40" s="1596"/>
      <c r="D40" s="1596"/>
      <c r="E40" s="1596"/>
      <c r="F40" s="1596"/>
      <c r="G40" s="1596"/>
      <c r="H40" s="1597"/>
      <c r="M40" s="74"/>
    </row>
    <row r="41" spans="1:13" ht="20.100000000000001" customHeight="1">
      <c r="A41" s="1598" t="s">
        <v>1899</v>
      </c>
      <c r="B41" s="1599"/>
      <c r="C41" s="1599"/>
      <c r="D41" s="1599"/>
      <c r="E41" s="1599"/>
      <c r="F41" s="1599"/>
      <c r="G41" s="1599"/>
      <c r="H41" s="1600"/>
      <c r="K41" s="387" t="str">
        <f>IF(A41="","×","○")</f>
        <v>○</v>
      </c>
      <c r="M41" s="74"/>
    </row>
    <row r="42" spans="1:13" ht="20.100000000000001" customHeight="1">
      <c r="A42" s="1601"/>
      <c r="B42" s="1602"/>
      <c r="C42" s="1602"/>
      <c r="D42" s="1602"/>
      <c r="E42" s="1602"/>
      <c r="F42" s="1602"/>
      <c r="G42" s="1602"/>
      <c r="H42" s="1603"/>
      <c r="M42" s="74"/>
    </row>
    <row r="43" spans="1:13" ht="20.100000000000001" customHeight="1">
      <c r="A43" s="1601"/>
      <c r="B43" s="1602"/>
      <c r="C43" s="1602"/>
      <c r="D43" s="1602"/>
      <c r="E43" s="1602"/>
      <c r="F43" s="1602"/>
      <c r="G43" s="1602"/>
      <c r="H43" s="1603"/>
      <c r="M43" s="74"/>
    </row>
    <row r="44" spans="1:13" ht="20.100000000000001" customHeight="1" thickBot="1">
      <c r="A44" s="1604"/>
      <c r="B44" s="1605"/>
      <c r="C44" s="1605"/>
      <c r="D44" s="1605"/>
      <c r="E44" s="1605"/>
      <c r="F44" s="1605"/>
      <c r="G44" s="1605"/>
      <c r="H44" s="1606"/>
      <c r="M44" s="113"/>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F1" zoomScaleNormal="85" zoomScaleSheetLayoutView="100" workbookViewId="0">
      <selection activeCell="D51" sqref="D51:G51"/>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74" t="s">
        <v>1031</v>
      </c>
      <c r="B1" s="1274"/>
      <c r="C1" s="1274"/>
      <c r="D1" s="1274"/>
      <c r="E1" s="1274"/>
      <c r="F1" s="1274"/>
      <c r="G1" s="1274"/>
      <c r="H1" s="1274"/>
      <c r="K1" s="53"/>
    </row>
    <row r="2" spans="1:15" ht="31.5" customHeight="1" thickTop="1" thickBot="1">
      <c r="A2" s="1277" t="s">
        <v>877</v>
      </c>
      <c r="B2" s="1277"/>
      <c r="C2" s="1277"/>
      <c r="D2" s="1277"/>
      <c r="E2" s="1277"/>
      <c r="F2" s="1277"/>
      <c r="G2" s="1296"/>
      <c r="H2" s="388" t="str">
        <f>IF(COUNTIF(J7:J46,"×")&gt;=1,"未入力あり","入力済")</f>
        <v>入力済</v>
      </c>
      <c r="I2" s="1627"/>
      <c r="J2" s="705"/>
      <c r="K2" s="53"/>
      <c r="M2" s="85"/>
    </row>
    <row r="3" spans="1:15" ht="5.0999999999999996" customHeight="1" thickTop="1">
      <c r="I3" s="1627"/>
      <c r="J3" s="705"/>
      <c r="K3" s="8"/>
    </row>
    <row r="4" spans="1:15" ht="20.100000000000001" customHeight="1">
      <c r="D4" s="454" t="s">
        <v>725</v>
      </c>
      <c r="E4" s="1607" t="str">
        <f>表紙!E2</f>
        <v>社会医療法人生長会　ベルランド総合病院</v>
      </c>
      <c r="F4" s="1608"/>
      <c r="G4" s="1608"/>
      <c r="H4" s="1609"/>
      <c r="I4" s="1627"/>
      <c r="J4" s="705"/>
      <c r="K4" s="53"/>
    </row>
    <row r="5" spans="1:15" ht="20.100000000000001" customHeight="1">
      <c r="D5" s="1096" t="s">
        <v>878</v>
      </c>
      <c r="E5" s="1" t="str">
        <f>別紙1未充足要件!E5</f>
        <v>令和７年９月１日時点</v>
      </c>
      <c r="F5" s="391"/>
      <c r="I5" s="1627"/>
      <c r="J5" s="705"/>
      <c r="M5" s="139" t="s">
        <v>204</v>
      </c>
    </row>
    <row r="6" spans="1:15" s="437" customFormat="1" ht="18" customHeight="1" thickBot="1">
      <c r="A6" s="1622" t="s">
        <v>1032</v>
      </c>
      <c r="B6" s="1622"/>
      <c r="C6" s="1622"/>
      <c r="D6" s="1622"/>
      <c r="E6" s="1622"/>
      <c r="F6" s="1622"/>
      <c r="G6" s="1622"/>
      <c r="H6" s="1622"/>
      <c r="I6" s="1627"/>
      <c r="J6" s="705"/>
      <c r="L6" s="51"/>
      <c r="M6" s="74"/>
    </row>
    <row r="7" spans="1:15" s="437" customFormat="1" ht="18" customHeight="1" thickBot="1">
      <c r="A7" s="437" t="s">
        <v>1033</v>
      </c>
      <c r="D7" s="706"/>
      <c r="E7" s="1421">
        <v>0</v>
      </c>
      <c r="F7" s="1422"/>
      <c r="G7" s="1621" t="str">
        <f>G12</f>
        <v>（期間：令和６年１月１日～12月31日）</v>
      </c>
      <c r="H7" s="1622"/>
      <c r="J7" s="437" t="str">
        <f>IF(E7="","×","○")</f>
        <v>○</v>
      </c>
      <c r="L7" s="51"/>
      <c r="M7" s="74"/>
      <c r="N7" s="491">
        <v>0</v>
      </c>
      <c r="O7" s="500">
        <v>100</v>
      </c>
    </row>
    <row r="8" spans="1:15" s="437" customFormat="1" ht="53.25" customHeight="1" thickBot="1">
      <c r="A8" s="439" t="s">
        <v>1034</v>
      </c>
      <c r="B8" s="439"/>
      <c r="C8" s="439"/>
      <c r="D8" s="706"/>
      <c r="E8" s="1623" t="s">
        <v>1853</v>
      </c>
      <c r="F8" s="1624"/>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22" t="s">
        <v>1037</v>
      </c>
      <c r="B10" s="1580"/>
      <c r="C10" s="1580"/>
      <c r="D10" s="1625"/>
      <c r="E10" s="1619" t="s">
        <v>1778</v>
      </c>
      <c r="F10" s="1620"/>
      <c r="G10" s="706" t="s">
        <v>1038</v>
      </c>
      <c r="H10" s="706"/>
      <c r="J10" s="437" t="str">
        <f>IF(E10="","×","○")</f>
        <v>○</v>
      </c>
      <c r="L10" s="51"/>
      <c r="M10" s="74"/>
    </row>
    <row r="11" spans="1:15" s="437" customFormat="1" ht="32.25" customHeight="1" thickBot="1">
      <c r="A11" s="439" t="s">
        <v>1039</v>
      </c>
      <c r="B11" s="439"/>
      <c r="C11" s="439"/>
      <c r="D11" s="439"/>
      <c r="E11" s="1623" t="s">
        <v>1854</v>
      </c>
      <c r="F11" s="1624"/>
      <c r="G11" s="706" t="s">
        <v>1040</v>
      </c>
      <c r="H11" s="706"/>
      <c r="J11" s="437" t="str">
        <f>IF(AND(E10="はい",E11=""),"×","○")</f>
        <v>○</v>
      </c>
      <c r="L11" s="51"/>
      <c r="M11" s="74"/>
    </row>
    <row r="12" spans="1:15" s="437" customFormat="1" ht="28.5" customHeight="1" thickBot="1">
      <c r="A12" s="439" t="s">
        <v>1041</v>
      </c>
      <c r="B12" s="439"/>
      <c r="C12" s="439"/>
      <c r="D12" s="439"/>
      <c r="E12" s="1421">
        <v>486</v>
      </c>
      <c r="F12" s="1422"/>
      <c r="G12" s="1621" t="str">
        <f>G18</f>
        <v>（期間：令和６年１月１日～12月31日）</v>
      </c>
      <c r="H12" s="1622"/>
      <c r="J12" s="437" t="str">
        <f>IF(AND(E10="はい",E12=""),"×","○")</f>
        <v>○</v>
      </c>
      <c r="L12" s="51"/>
      <c r="M12" s="128"/>
      <c r="N12" s="491">
        <v>0</v>
      </c>
      <c r="O12" s="500">
        <v>1000</v>
      </c>
    </row>
    <row r="13" spans="1:15" s="437" customFormat="1" ht="18" customHeight="1" thickBot="1">
      <c r="A13" s="1090" t="s">
        <v>1664</v>
      </c>
      <c r="B13" s="1090"/>
      <c r="C13" s="439"/>
      <c r="D13" s="706"/>
      <c r="E13" s="707"/>
      <c r="F13" s="707"/>
      <c r="G13" s="706"/>
      <c r="H13" s="706"/>
      <c r="L13" s="51"/>
      <c r="M13" s="74"/>
    </row>
    <row r="14" spans="1:15" s="437" customFormat="1" ht="18" customHeight="1" thickBot="1">
      <c r="A14" s="1090" t="s">
        <v>1042</v>
      </c>
      <c r="B14" s="1090"/>
      <c r="C14" s="439"/>
      <c r="D14" s="706"/>
      <c r="E14" s="1623" t="s">
        <v>1855</v>
      </c>
      <c r="F14" s="1624"/>
      <c r="G14" s="706" t="s">
        <v>1040</v>
      </c>
      <c r="H14" s="706"/>
      <c r="J14" s="437" t="str">
        <f>IF(E14="","×","○")</f>
        <v>○</v>
      </c>
      <c r="L14" s="51"/>
      <c r="M14" s="125"/>
    </row>
    <row r="15" spans="1:15" s="437" customFormat="1" ht="18" customHeight="1" thickBot="1">
      <c r="A15" s="1090" t="s">
        <v>1043</v>
      </c>
      <c r="B15" s="1090"/>
      <c r="C15" s="439"/>
      <c r="D15" s="706"/>
      <c r="E15" s="1619" t="s">
        <v>1778</v>
      </c>
      <c r="F15" s="1620"/>
      <c r="G15" s="706" t="s">
        <v>1038</v>
      </c>
      <c r="H15" s="706"/>
      <c r="J15" s="437" t="str">
        <f t="shared" ref="J15:J16" si="0">IF(E15="","×","○")</f>
        <v>○</v>
      </c>
      <c r="L15" s="51"/>
      <c r="M15" s="125"/>
    </row>
    <row r="16" spans="1:15" s="437" customFormat="1" ht="18" customHeight="1" thickBot="1">
      <c r="A16" s="1090" t="s">
        <v>1044</v>
      </c>
      <c r="B16" s="1090"/>
      <c r="C16" s="439"/>
      <c r="D16" s="706"/>
      <c r="E16" s="1619" t="s">
        <v>1778</v>
      </c>
      <c r="F16" s="1620"/>
      <c r="G16" s="706" t="s">
        <v>1038</v>
      </c>
      <c r="H16" s="706"/>
      <c r="J16" s="437" t="str">
        <f t="shared" si="0"/>
        <v>○</v>
      </c>
      <c r="L16" s="51"/>
      <c r="M16" s="125"/>
    </row>
    <row r="17" spans="1:15" s="437" customFormat="1" ht="18" customHeight="1" thickBot="1">
      <c r="A17" s="1090" t="s">
        <v>1665</v>
      </c>
      <c r="B17" s="1090"/>
      <c r="C17" s="439"/>
      <c r="D17" s="706"/>
      <c r="E17" s="1626"/>
      <c r="F17" s="1626"/>
      <c r="H17" s="706"/>
      <c r="L17" s="51"/>
      <c r="M17" s="125"/>
    </row>
    <row r="18" spans="1:15" s="437" customFormat="1" ht="18" customHeight="1" thickBot="1">
      <c r="A18" s="1090" t="s">
        <v>1666</v>
      </c>
      <c r="B18" s="1090"/>
      <c r="C18" s="439"/>
      <c r="D18" s="706"/>
      <c r="E18" s="1421">
        <v>5</v>
      </c>
      <c r="F18" s="1422"/>
      <c r="G18" s="437" t="s">
        <v>1689</v>
      </c>
      <c r="H18" s="706"/>
      <c r="J18" s="437" t="str">
        <f>IF(E18="","×","○")</f>
        <v>○</v>
      </c>
      <c r="L18" s="51"/>
      <c r="M18" s="125"/>
      <c r="N18" s="491">
        <v>0</v>
      </c>
      <c r="O18" s="500">
        <v>100</v>
      </c>
    </row>
    <row r="19" spans="1:15" s="437" customFormat="1" ht="18" customHeight="1" thickBot="1">
      <c r="A19" s="1090" t="s">
        <v>1667</v>
      </c>
      <c r="B19" s="1090"/>
      <c r="C19" s="439"/>
      <c r="D19" s="706"/>
      <c r="E19" s="1421">
        <v>5</v>
      </c>
      <c r="F19" s="1422"/>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19" t="s">
        <v>1778</v>
      </c>
      <c r="F20" s="1620"/>
      <c r="G20" s="706" t="s">
        <v>1038</v>
      </c>
      <c r="H20" s="706"/>
      <c r="J20" s="437" t="str">
        <f>IF(E20="","×","○")</f>
        <v>○</v>
      </c>
      <c r="L20" s="51"/>
      <c r="M20" s="74"/>
    </row>
    <row r="21" spans="1:15" s="437" customFormat="1" ht="51" customHeight="1" thickBot="1">
      <c r="A21" s="439" t="s">
        <v>1046</v>
      </c>
      <c r="B21" s="439"/>
      <c r="C21" s="439"/>
      <c r="D21" s="706"/>
      <c r="E21" s="1623" t="s">
        <v>1856</v>
      </c>
      <c r="F21" s="1624"/>
      <c r="G21" s="706" t="s">
        <v>1040</v>
      </c>
      <c r="H21" s="706"/>
      <c r="J21" s="437" t="str">
        <f>IF(AND(E20="はい",E21=""),"×","○")</f>
        <v>○</v>
      </c>
      <c r="L21" s="51"/>
      <c r="M21" s="74"/>
    </row>
    <row r="22" spans="1:15" s="437" customFormat="1" ht="18" customHeight="1" thickBot="1">
      <c r="A22" s="439" t="s">
        <v>1047</v>
      </c>
      <c r="B22" s="439"/>
      <c r="C22" s="439"/>
      <c r="D22" s="706"/>
      <c r="E22" s="1619" t="s">
        <v>1777</v>
      </c>
      <c r="F22" s="1620"/>
      <c r="G22" s="706" t="s">
        <v>1038</v>
      </c>
      <c r="H22" s="706"/>
      <c r="J22" s="437" t="str">
        <f>IF(E22="","×","○")</f>
        <v>○</v>
      </c>
      <c r="L22" s="51"/>
      <c r="M22" s="74"/>
    </row>
    <row r="23" spans="1:15" s="437" customFormat="1" ht="55.5" customHeight="1" thickBot="1">
      <c r="A23" s="439" t="s">
        <v>1048</v>
      </c>
      <c r="B23" s="439"/>
      <c r="C23" s="439"/>
      <c r="D23" s="706"/>
      <c r="E23" s="1623" t="s">
        <v>1857</v>
      </c>
      <c r="F23" s="1624"/>
      <c r="G23" s="706" t="s">
        <v>1040</v>
      </c>
      <c r="H23" s="706"/>
      <c r="J23" s="437" t="str">
        <f>IF(AND(E22="はい",E23=""),"×","○")</f>
        <v>○</v>
      </c>
      <c r="L23" s="51"/>
      <c r="M23" s="74"/>
    </row>
    <row r="24" spans="1:15" s="437" customFormat="1" ht="18" customHeight="1" thickBot="1">
      <c r="A24" s="439" t="s">
        <v>1049</v>
      </c>
      <c r="B24" s="439"/>
      <c r="C24" s="439"/>
      <c r="D24" s="706"/>
      <c r="E24" s="1619" t="s">
        <v>1778</v>
      </c>
      <c r="F24" s="1620"/>
      <c r="G24" s="706" t="s">
        <v>1038</v>
      </c>
      <c r="H24" s="706"/>
      <c r="J24" s="437" t="str">
        <f t="shared" ref="J24:J28" si="1">IF(E24="","×","○")</f>
        <v>○</v>
      </c>
      <c r="L24" s="51"/>
      <c r="M24" s="74"/>
    </row>
    <row r="25" spans="1:15" s="437" customFormat="1" ht="18" customHeight="1" thickBot="1">
      <c r="A25" s="439" t="s">
        <v>1050</v>
      </c>
      <c r="B25" s="439"/>
      <c r="C25" s="439"/>
      <c r="D25" s="706"/>
      <c r="E25" s="1619" t="s">
        <v>1778</v>
      </c>
      <c r="F25" s="1620"/>
      <c r="G25" s="706" t="s">
        <v>1038</v>
      </c>
      <c r="H25" s="706"/>
      <c r="J25" s="437" t="str">
        <f t="shared" si="1"/>
        <v>○</v>
      </c>
      <c r="L25" s="51"/>
      <c r="M25" s="74"/>
    </row>
    <row r="26" spans="1:15" s="437" customFormat="1" ht="18" customHeight="1" thickBot="1">
      <c r="A26" s="439" t="s">
        <v>1051</v>
      </c>
      <c r="B26" s="439"/>
      <c r="C26" s="439"/>
      <c r="D26" s="706"/>
      <c r="E26" s="1619" t="s">
        <v>1778</v>
      </c>
      <c r="F26" s="1620"/>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19" t="s">
        <v>1777</v>
      </c>
      <c r="F28" s="1620"/>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21">
        <v>12</v>
      </c>
      <c r="F30" s="1422"/>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21">
        <v>0</v>
      </c>
      <c r="F31" s="1422"/>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21">
        <v>0</v>
      </c>
      <c r="F32" s="1422"/>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21">
        <v>0</v>
      </c>
      <c r="F33" s="1422"/>
      <c r="G33" s="437" t="str">
        <f>G32</f>
        <v>（期間：令和６年１月１日～12月31日）</v>
      </c>
      <c r="H33" s="706"/>
      <c r="J33" s="437" t="str">
        <f>IF(E33="","×","○")</f>
        <v>○</v>
      </c>
      <c r="L33" s="51"/>
      <c r="M33" s="74"/>
      <c r="N33" s="491">
        <v>0</v>
      </c>
      <c r="O33" s="500">
        <v>100</v>
      </c>
    </row>
    <row r="34" spans="1:15" s="437" customFormat="1" ht="16.5" customHeight="1" thickBot="1">
      <c r="A34" s="1637" t="s">
        <v>1059</v>
      </c>
      <c r="B34" s="1637"/>
      <c r="C34" s="1637"/>
      <c r="D34" s="1637"/>
      <c r="E34" s="1637"/>
      <c r="F34" s="1637"/>
      <c r="G34" s="1637"/>
      <c r="H34" s="1637"/>
      <c r="L34" s="51"/>
      <c r="M34" s="74"/>
    </row>
    <row r="35" spans="1:15" s="437" customFormat="1" ht="18" customHeight="1" thickBot="1">
      <c r="A35" s="439" t="s">
        <v>1060</v>
      </c>
      <c r="B35" s="439"/>
      <c r="C35" s="439"/>
      <c r="D35" s="706"/>
      <c r="E35" s="1421">
        <v>1</v>
      </c>
      <c r="F35" s="1422"/>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80" t="s">
        <v>1061</v>
      </c>
      <c r="B37" s="1580"/>
      <c r="C37" s="1580"/>
      <c r="D37" s="1580"/>
      <c r="E37" s="1580"/>
      <c r="F37" s="1580"/>
      <c r="G37" s="1580"/>
      <c r="L37" s="51"/>
      <c r="M37" s="74"/>
    </row>
    <row r="38" spans="1:15" s="437" customFormat="1" ht="13.5" customHeight="1">
      <c r="A38" s="1580" t="s">
        <v>1062</v>
      </c>
      <c r="B38" s="1580"/>
      <c r="C38" s="1580"/>
      <c r="D38" s="1580"/>
      <c r="E38" s="1580"/>
      <c r="F38" s="1580"/>
      <c r="G38" s="1580"/>
      <c r="L38" s="51"/>
      <c r="M38" s="74"/>
    </row>
    <row r="39" spans="1:15" s="437" customFormat="1" ht="13.5" customHeight="1">
      <c r="A39" s="1580" t="s">
        <v>1063</v>
      </c>
      <c r="B39" s="1580"/>
      <c r="C39" s="1580"/>
      <c r="D39" s="1580"/>
      <c r="E39" s="1580"/>
      <c r="F39" s="1580"/>
      <c r="G39" s="1580"/>
      <c r="L39" s="51"/>
      <c r="M39" s="74"/>
    </row>
    <row r="40" spans="1:15" s="437" customFormat="1" ht="13.5" customHeight="1">
      <c r="A40" s="1580" t="s">
        <v>1064</v>
      </c>
      <c r="B40" s="1580"/>
      <c r="C40" s="1580"/>
      <c r="D40" s="1580"/>
      <c r="E40" s="1580"/>
      <c r="F40" s="1580"/>
      <c r="G40" s="1580"/>
      <c r="L40" s="51"/>
      <c r="M40" s="74"/>
    </row>
    <row r="41" spans="1:15" ht="18" customHeight="1">
      <c r="A41" s="1545"/>
      <c r="B41" s="1405" t="s">
        <v>1065</v>
      </c>
      <c r="C41" s="1405"/>
      <c r="D41" s="1543" t="s">
        <v>1066</v>
      </c>
      <c r="E41" s="1318"/>
      <c r="F41" s="1318"/>
      <c r="G41" s="1319"/>
      <c r="H41" s="1630" t="s">
        <v>1067</v>
      </c>
      <c r="M41" s="74"/>
    </row>
    <row r="42" spans="1:15" ht="27.95" customHeight="1">
      <c r="A42" s="1545"/>
      <c r="B42" s="709" t="s">
        <v>1068</v>
      </c>
      <c r="C42" s="710" t="s">
        <v>1069</v>
      </c>
      <c r="D42" s="1544"/>
      <c r="E42" s="1628"/>
      <c r="F42" s="1628"/>
      <c r="G42" s="1629"/>
      <c r="H42" s="1630"/>
      <c r="M42" s="74"/>
    </row>
    <row r="43" spans="1:15" ht="18" customHeight="1">
      <c r="A43" s="711" t="s">
        <v>1015</v>
      </c>
      <c r="B43" s="712" t="s">
        <v>1070</v>
      </c>
      <c r="C43" s="713" t="s">
        <v>1071</v>
      </c>
      <c r="D43" s="1631" t="s">
        <v>1072</v>
      </c>
      <c r="E43" s="1632"/>
      <c r="F43" s="1632"/>
      <c r="G43" s="1633"/>
      <c r="H43" s="711" t="s">
        <v>1073</v>
      </c>
      <c r="M43" s="74"/>
    </row>
    <row r="44" spans="1:15" ht="27.95" customHeight="1">
      <c r="A44" s="711" t="s">
        <v>1015</v>
      </c>
      <c r="B44" s="712" t="s">
        <v>1070</v>
      </c>
      <c r="C44" s="713" t="s">
        <v>472</v>
      </c>
      <c r="D44" s="1631" t="s">
        <v>1074</v>
      </c>
      <c r="E44" s="1632"/>
      <c r="F44" s="1632"/>
      <c r="G44" s="1633"/>
      <c r="H44" s="711" t="s">
        <v>1073</v>
      </c>
      <c r="M44" s="74"/>
    </row>
    <row r="45" spans="1:15" ht="27.95" customHeight="1" thickBot="1">
      <c r="A45" s="711" t="s">
        <v>1015</v>
      </c>
      <c r="B45" s="714" t="s">
        <v>1070</v>
      </c>
      <c r="C45" s="715" t="s">
        <v>1075</v>
      </c>
      <c r="D45" s="1634" t="s">
        <v>1076</v>
      </c>
      <c r="E45" s="1635"/>
      <c r="F45" s="1635"/>
      <c r="G45" s="1636"/>
      <c r="H45" s="716" t="s">
        <v>1077</v>
      </c>
      <c r="M45" s="74"/>
    </row>
    <row r="46" spans="1:15" ht="31.5" customHeight="1" thickBot="1">
      <c r="A46" s="401">
        <v>1</v>
      </c>
      <c r="B46" s="48" t="s">
        <v>1900</v>
      </c>
      <c r="C46" s="48" t="s">
        <v>1858</v>
      </c>
      <c r="D46" s="1268" t="s">
        <v>1859</v>
      </c>
      <c r="E46" s="1340"/>
      <c r="F46" s="1340"/>
      <c r="G46" s="1269"/>
      <c r="H46" s="36" t="s">
        <v>1774</v>
      </c>
      <c r="J46" s="437" t="str">
        <f>IF(AND(E35&gt;0,OR(B46="",C46="",D46="",H46="")),"×","〇")</f>
        <v>〇</v>
      </c>
      <c r="M46" s="74"/>
    </row>
    <row r="47" spans="1:15" ht="31.5" customHeight="1" thickBot="1">
      <c r="A47" s="401">
        <v>2</v>
      </c>
      <c r="B47" s="48"/>
      <c r="C47" s="48"/>
      <c r="D47" s="1268"/>
      <c r="E47" s="1340"/>
      <c r="F47" s="1340"/>
      <c r="G47" s="1269"/>
      <c r="H47" s="36"/>
      <c r="J47" s="621"/>
      <c r="M47" s="74"/>
    </row>
    <row r="48" spans="1:15" ht="31.5" customHeight="1" thickBot="1">
      <c r="A48" s="401">
        <v>3</v>
      </c>
      <c r="B48" s="48"/>
      <c r="C48" s="48"/>
      <c r="D48" s="1268"/>
      <c r="E48" s="1340"/>
      <c r="F48" s="1340"/>
      <c r="G48" s="1269"/>
      <c r="H48" s="36"/>
      <c r="M48" s="74"/>
    </row>
    <row r="49" spans="1:13" ht="31.5" customHeight="1" thickBot="1">
      <c r="A49" s="401">
        <v>4</v>
      </c>
      <c r="B49" s="48"/>
      <c r="C49" s="48"/>
      <c r="D49" s="1268"/>
      <c r="E49" s="1340"/>
      <c r="F49" s="1340"/>
      <c r="G49" s="1269"/>
      <c r="H49" s="36"/>
      <c r="M49" s="74"/>
    </row>
    <row r="50" spans="1:13" ht="31.5" customHeight="1" thickBot="1">
      <c r="A50" s="401">
        <v>5</v>
      </c>
      <c r="B50" s="48"/>
      <c r="C50" s="48"/>
      <c r="D50" s="1268"/>
      <c r="E50" s="1340"/>
      <c r="F50" s="1340"/>
      <c r="G50" s="1269"/>
      <c r="H50" s="36"/>
      <c r="M50" s="74"/>
    </row>
    <row r="51" spans="1:13" ht="31.5" customHeight="1" thickBot="1">
      <c r="A51" s="401">
        <v>6</v>
      </c>
      <c r="B51" s="48"/>
      <c r="C51" s="48"/>
      <c r="D51" s="1268"/>
      <c r="E51" s="1340"/>
      <c r="F51" s="1340"/>
      <c r="G51" s="1269"/>
      <c r="H51" s="36"/>
      <c r="M51" s="74"/>
    </row>
    <row r="52" spans="1:13" ht="31.5" customHeight="1" thickBot="1">
      <c r="A52" s="401">
        <v>7</v>
      </c>
      <c r="B52" s="48"/>
      <c r="C52" s="48"/>
      <c r="D52" s="1268"/>
      <c r="E52" s="1340"/>
      <c r="F52" s="1340"/>
      <c r="G52" s="1269"/>
      <c r="H52" s="36"/>
      <c r="M52" s="74"/>
    </row>
    <row r="53" spans="1:13" ht="31.5" customHeight="1" thickBot="1">
      <c r="A53" s="401">
        <v>8</v>
      </c>
      <c r="B53" s="48"/>
      <c r="C53" s="48"/>
      <c r="D53" s="1268"/>
      <c r="E53" s="1340"/>
      <c r="F53" s="1340"/>
      <c r="G53" s="1269"/>
      <c r="H53" s="36"/>
      <c r="M53" s="74"/>
    </row>
    <row r="54" spans="1:13" ht="31.5" customHeight="1" thickBot="1">
      <c r="A54" s="401">
        <v>9</v>
      </c>
      <c r="B54" s="48"/>
      <c r="C54" s="48"/>
      <c r="D54" s="1268"/>
      <c r="E54" s="1340"/>
      <c r="F54" s="1340"/>
      <c r="G54" s="1269"/>
      <c r="H54" s="36"/>
      <c r="M54" s="74"/>
    </row>
    <row r="55" spans="1:13" ht="31.5" customHeight="1" thickBot="1">
      <c r="A55" s="401">
        <v>10</v>
      </c>
      <c r="B55" s="48"/>
      <c r="C55" s="48"/>
      <c r="D55" s="1268"/>
      <c r="E55" s="1340"/>
      <c r="F55" s="1340"/>
      <c r="G55" s="1269"/>
      <c r="H55" s="36"/>
      <c r="M55" s="74"/>
    </row>
    <row r="56" spans="1:13" ht="31.5" customHeight="1" thickBot="1">
      <c r="A56" s="401">
        <v>11</v>
      </c>
      <c r="B56" s="48"/>
      <c r="C56" s="48"/>
      <c r="D56" s="1268"/>
      <c r="E56" s="1340"/>
      <c r="F56" s="1340"/>
      <c r="G56" s="1269"/>
      <c r="H56" s="36"/>
      <c r="M56" s="113"/>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1532</v>
      </c>
      <c r="C1" s="17"/>
      <c r="D1" s="17"/>
      <c r="E1" s="17"/>
      <c r="G1" s="32"/>
      <c r="H1" s="112"/>
      <c r="I1" s="88"/>
      <c r="J1" s="88"/>
      <c r="K1" s="88"/>
      <c r="L1" s="88"/>
      <c r="M1" s="88"/>
      <c r="N1" s="88"/>
      <c r="O1" s="88"/>
    </row>
    <row r="2" spans="1:15" ht="24" customHeight="1" thickBot="1">
      <c r="D2" s="10" t="s">
        <v>150</v>
      </c>
      <c r="E2" s="1209" t="s">
        <v>1762</v>
      </c>
      <c r="F2" s="1210"/>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1694</v>
      </c>
      <c r="E4" s="1212" t="str">
        <f>'様式4（全般事項）'!G5</f>
        <v>大阪府がん診療拠点病院</v>
      </c>
      <c r="F4" s="121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1594</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1" t="s">
        <v>159</v>
      </c>
      <c r="F12" s="1211"/>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4" t="s">
        <v>165</v>
      </c>
      <c r="B14" s="11" t="str">
        <f>IF(別紙1未充足要件!F2="","未入力",別紙1未充足要件!F2)</f>
        <v>不要</v>
      </c>
      <c r="C14" s="50"/>
      <c r="D14" s="6" t="s">
        <v>166</v>
      </c>
      <c r="E14" s="75" t="s">
        <v>167</v>
      </c>
      <c r="F14" s="888" t="s">
        <v>1534</v>
      </c>
      <c r="G14" s="12"/>
      <c r="H14" s="74"/>
      <c r="I14" s="90"/>
      <c r="J14" s="90"/>
      <c r="K14" s="90"/>
      <c r="L14" s="90"/>
      <c r="M14" s="90"/>
    </row>
    <row r="15" spans="1:15" s="26" customFormat="1" ht="15" customHeight="1">
      <c r="A15" s="1215"/>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5"/>
      <c r="B16" s="11" t="str">
        <f>IF(別紙3自施設で対応しないもの!K2="","未入力",別紙3自施設で対応しないもの!K2)</f>
        <v>入力済</v>
      </c>
      <c r="C16" s="50"/>
      <c r="D16" s="6" t="s">
        <v>171</v>
      </c>
      <c r="E16" s="75" t="s">
        <v>169</v>
      </c>
      <c r="F16" s="888" t="s">
        <v>1535</v>
      </c>
      <c r="G16" s="12"/>
      <c r="H16" s="74"/>
      <c r="I16" s="90"/>
      <c r="J16" s="90"/>
      <c r="K16" s="90"/>
      <c r="L16" s="90"/>
      <c r="M16" s="90"/>
    </row>
    <row r="17" spans="1:13" s="26" customFormat="1" ht="15" customHeight="1">
      <c r="A17" s="1215"/>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5"/>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5"/>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5"/>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5"/>
      <c r="B21" s="11" t="str">
        <f>IF(別紙8緩和メンバーと活動!F3="","未入力",別紙8緩和メンバーと活動!F3)</f>
        <v>入力済</v>
      </c>
      <c r="C21" s="50"/>
      <c r="D21" s="6" t="s">
        <v>180</v>
      </c>
      <c r="E21" s="75" t="s">
        <v>169</v>
      </c>
      <c r="F21" s="25" t="s">
        <v>1648</v>
      </c>
      <c r="G21" s="12"/>
      <c r="H21" s="74"/>
      <c r="I21" s="90"/>
      <c r="J21" s="90"/>
      <c r="K21" s="90"/>
      <c r="L21" s="90"/>
      <c r="M21" s="90"/>
    </row>
    <row r="22" spans="1:13" s="26" customFormat="1" ht="15" customHeight="1">
      <c r="A22" s="1215"/>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5"/>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5"/>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5"/>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5"/>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5"/>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5"/>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5"/>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5"/>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5"/>
      <c r="B31" s="11" t="str">
        <f>IF(別紙18チーム医療の提供体制!O2="","未入力",別紙18チーム医療の提供体制!O2)</f>
        <v>入力済</v>
      </c>
      <c r="C31" s="67"/>
      <c r="D31" s="6" t="s">
        <v>1527</v>
      </c>
      <c r="E31" s="75" t="s">
        <v>169</v>
      </c>
      <c r="F31" s="29" t="s">
        <v>200</v>
      </c>
      <c r="G31" s="12"/>
      <c r="H31" s="74"/>
      <c r="I31" s="90"/>
      <c r="J31" s="90"/>
      <c r="K31" s="90"/>
      <c r="L31" s="90"/>
      <c r="M31" s="90"/>
    </row>
    <row r="32" spans="1:13" s="26" customFormat="1" ht="15" customHeight="1">
      <c r="A32" s="1215"/>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5"/>
      <c r="B33" s="11" t="str">
        <f>IF(別紙20歯科との連携!I2="","未入力あり",別紙20歯科との連携!I2)</f>
        <v>入力済</v>
      </c>
      <c r="C33" s="68"/>
      <c r="D33" s="6" t="s">
        <v>201</v>
      </c>
      <c r="E33" s="75" t="s">
        <v>169</v>
      </c>
      <c r="F33" s="25" t="s">
        <v>1443</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1442</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1645</v>
      </c>
      <c r="E35" s="75" t="s">
        <v>169</v>
      </c>
      <c r="F35" s="25" t="s">
        <v>1639</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19" sqref="W19"/>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98" t="s">
        <v>1078</v>
      </c>
      <c r="B1" s="1498"/>
      <c r="C1" s="1498"/>
      <c r="D1" s="1498"/>
      <c r="E1" s="1498"/>
      <c r="F1" s="1498"/>
      <c r="G1" s="1498"/>
      <c r="H1" s="1498"/>
      <c r="I1" s="1498"/>
      <c r="J1" s="1498"/>
      <c r="K1" s="1498"/>
      <c r="L1" s="1498"/>
      <c r="M1" s="1498"/>
      <c r="N1" s="1498"/>
      <c r="O1" s="1498"/>
      <c r="P1" s="1498"/>
      <c r="Q1" s="1498"/>
      <c r="R1" s="1498"/>
      <c r="S1" s="1498"/>
      <c r="T1" s="1498"/>
      <c r="U1" s="1498"/>
      <c r="V1" s="1498"/>
      <c r="W1" s="1498"/>
      <c r="Y1" s="53"/>
      <c r="Z1" s="53"/>
    </row>
    <row r="2" spans="1:30" ht="24.95" customHeight="1" thickBot="1">
      <c r="A2" s="1334" t="s">
        <v>832</v>
      </c>
      <c r="B2" s="1334"/>
      <c r="C2" s="1334"/>
      <c r="D2" s="1334"/>
      <c r="E2" s="1334"/>
      <c r="F2" s="1334"/>
      <c r="G2" s="1334"/>
      <c r="H2" s="1334"/>
      <c r="I2" s="1334"/>
      <c r="J2" s="1334"/>
      <c r="K2" s="1334"/>
      <c r="L2" s="1334"/>
      <c r="M2" s="1334"/>
      <c r="N2" s="1334"/>
      <c r="O2" s="1334"/>
      <c r="P2" s="1334"/>
      <c r="Q2" s="1334"/>
      <c r="R2" s="1334"/>
      <c r="S2" s="1334"/>
      <c r="T2" s="1334"/>
      <c r="U2" s="1334"/>
      <c r="V2" s="1334"/>
      <c r="W2" s="717" t="str">
        <f>IF(COUNTIF(Y15:Y43,"×")&gt;=1,"未入力あり","入力済")</f>
        <v>入力済</v>
      </c>
      <c r="X2" s="1627"/>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27"/>
      <c r="Y3" s="8"/>
      <c r="Z3" s="8"/>
    </row>
    <row r="4" spans="1:30" ht="20.25" customHeight="1">
      <c r="A4" s="433"/>
      <c r="B4" s="433"/>
      <c r="C4" s="433"/>
      <c r="D4" s="433"/>
      <c r="E4" s="719" t="s">
        <v>924</v>
      </c>
      <c r="F4" s="1666" t="str">
        <f>表紙!E2</f>
        <v>社会医療法人生長会　ベルランド総合病院</v>
      </c>
      <c r="G4" s="1667"/>
      <c r="H4" s="1667"/>
      <c r="I4" s="1667"/>
      <c r="J4" s="1667"/>
      <c r="K4" s="1667"/>
      <c r="L4" s="1667"/>
      <c r="M4" s="1667"/>
      <c r="N4" s="1667"/>
      <c r="O4" s="1667"/>
      <c r="P4" s="1667"/>
      <c r="Q4" s="1667"/>
      <c r="R4" s="1667"/>
      <c r="S4" s="1667"/>
      <c r="T4" s="1667"/>
      <c r="U4" s="1667"/>
      <c r="V4" s="1667"/>
      <c r="W4" s="1668"/>
      <c r="X4" s="1627"/>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27"/>
      <c r="Y5" s="439"/>
      <c r="Z5" s="439"/>
      <c r="AA5" s="139" t="s">
        <v>204</v>
      </c>
    </row>
    <row r="6" spans="1:30" s="687" customFormat="1" ht="42" customHeight="1">
      <c r="A6" s="720"/>
      <c r="B6" s="1664" t="s">
        <v>1079</v>
      </c>
      <c r="C6" s="1665"/>
      <c r="D6" s="1665"/>
      <c r="E6" s="1665"/>
      <c r="F6" s="1665"/>
      <c r="G6" s="1665"/>
      <c r="H6" s="1665"/>
      <c r="I6" s="1665"/>
      <c r="J6" s="1665"/>
      <c r="K6" s="1665"/>
      <c r="L6" s="1665"/>
      <c r="M6" s="1665"/>
      <c r="N6" s="1665"/>
      <c r="O6" s="1665"/>
      <c r="P6" s="1665"/>
      <c r="Q6" s="1665"/>
      <c r="R6" s="1665"/>
      <c r="S6" s="1665"/>
      <c r="T6" s="1665"/>
      <c r="U6" s="1665"/>
      <c r="V6" s="1665"/>
      <c r="W6" s="1665"/>
      <c r="AA6" s="74"/>
      <c r="AC6" s="720"/>
      <c r="AD6" s="721"/>
    </row>
    <row r="7" spans="1:30" s="687" customFormat="1" ht="20.100000000000001" customHeight="1">
      <c r="A7" s="720"/>
      <c r="B7" s="722" t="s">
        <v>1080</v>
      </c>
      <c r="C7" s="723" t="s">
        <v>1081</v>
      </c>
      <c r="D7" s="723" t="s">
        <v>1082</v>
      </c>
      <c r="E7" s="1662" t="s">
        <v>1083</v>
      </c>
      <c r="F7" s="1662"/>
      <c r="G7" s="1662"/>
      <c r="H7" s="1662"/>
      <c r="I7" s="1662"/>
      <c r="J7" s="1662"/>
      <c r="K7" s="1662"/>
      <c r="L7" s="1662"/>
      <c r="M7" s="1662"/>
      <c r="N7" s="1662" t="s">
        <v>1084</v>
      </c>
      <c r="O7" s="1662"/>
      <c r="P7" s="1662"/>
      <c r="Q7" s="1662"/>
      <c r="R7" s="1662"/>
      <c r="S7" s="1662"/>
      <c r="T7" s="1662"/>
      <c r="U7" s="1662"/>
      <c r="V7" s="1662"/>
      <c r="W7" s="724"/>
      <c r="X7" s="724"/>
      <c r="Y7" s="724"/>
      <c r="Z7" s="724"/>
      <c r="AA7" s="74"/>
      <c r="AB7" s="724"/>
      <c r="AC7" s="724"/>
      <c r="AD7" s="721"/>
    </row>
    <row r="8" spans="1:30" s="687" customFormat="1" ht="99.95" customHeight="1">
      <c r="A8" s="720"/>
      <c r="B8" s="725" t="s">
        <v>1085</v>
      </c>
      <c r="C8" s="726" t="s">
        <v>1086</v>
      </c>
      <c r="D8" s="726" t="s">
        <v>1087</v>
      </c>
      <c r="E8" s="1669" t="s">
        <v>1088</v>
      </c>
      <c r="F8" s="1670"/>
      <c r="G8" s="1670"/>
      <c r="H8" s="1670"/>
      <c r="I8" s="1670"/>
      <c r="J8" s="1670"/>
      <c r="K8" s="1670"/>
      <c r="L8" s="1670"/>
      <c r="M8" s="1671"/>
      <c r="N8" s="1663" t="s">
        <v>1089</v>
      </c>
      <c r="O8" s="1663"/>
      <c r="P8" s="1663"/>
      <c r="Q8" s="1663"/>
      <c r="R8" s="1663"/>
      <c r="S8" s="1663"/>
      <c r="T8" s="1663"/>
      <c r="U8" s="1663"/>
      <c r="V8" s="1663"/>
      <c r="W8" s="724"/>
      <c r="X8" s="724"/>
      <c r="Y8" s="724"/>
      <c r="Z8" s="724"/>
      <c r="AA8" s="74"/>
      <c r="AB8" s="724"/>
      <c r="AC8" s="724"/>
      <c r="AD8" s="721"/>
    </row>
    <row r="9" spans="1:30" s="687" customFormat="1" ht="50.1" customHeight="1">
      <c r="A9" s="720"/>
      <c r="B9" s="722" t="s">
        <v>1090</v>
      </c>
      <c r="C9" s="727" t="s">
        <v>1091</v>
      </c>
      <c r="D9" s="722" t="s">
        <v>1092</v>
      </c>
      <c r="E9" s="1662" t="s">
        <v>1093</v>
      </c>
      <c r="F9" s="1662"/>
      <c r="G9" s="1662"/>
      <c r="H9" s="1662"/>
      <c r="I9" s="1662"/>
      <c r="J9" s="1662"/>
      <c r="K9" s="1662"/>
      <c r="L9" s="1662"/>
      <c r="M9" s="1662"/>
      <c r="N9" s="1662" t="s">
        <v>1094</v>
      </c>
      <c r="O9" s="1662"/>
      <c r="P9" s="1662"/>
      <c r="Q9" s="1662"/>
      <c r="R9" s="1662"/>
      <c r="S9" s="1662"/>
      <c r="T9" s="1662"/>
      <c r="U9" s="1662"/>
      <c r="V9" s="1662"/>
      <c r="W9" s="724"/>
      <c r="X9" s="724"/>
      <c r="Y9" s="724"/>
      <c r="Z9" s="724"/>
      <c r="AA9" s="74"/>
      <c r="AB9" s="724"/>
      <c r="AC9" s="724"/>
      <c r="AD9" s="721"/>
    </row>
    <row r="10" spans="1:30" s="687" customFormat="1" ht="50.1" customHeight="1">
      <c r="A10" s="720"/>
      <c r="B10" s="1663" t="s">
        <v>1095</v>
      </c>
      <c r="C10" s="1674" t="s">
        <v>1096</v>
      </c>
      <c r="D10" s="1674" t="s">
        <v>1097</v>
      </c>
      <c r="E10" s="1663" t="s">
        <v>1098</v>
      </c>
      <c r="F10" s="1663"/>
      <c r="G10" s="1663"/>
      <c r="H10" s="1663"/>
      <c r="I10" s="1663"/>
      <c r="J10" s="1663"/>
      <c r="K10" s="1663"/>
      <c r="L10" s="1663"/>
      <c r="M10" s="1677"/>
      <c r="N10" s="1663" t="s">
        <v>1099</v>
      </c>
      <c r="O10" s="1663"/>
      <c r="P10" s="1663"/>
      <c r="Q10" s="1663"/>
      <c r="R10" s="1663"/>
      <c r="S10" s="1663"/>
      <c r="T10" s="1663"/>
      <c r="U10" s="1663"/>
      <c r="V10" s="1663"/>
      <c r="W10" s="724"/>
      <c r="X10" s="724"/>
      <c r="Y10" s="724"/>
      <c r="Z10" s="724"/>
      <c r="AA10" s="74"/>
      <c r="AB10" s="724"/>
      <c r="AC10" s="724"/>
      <c r="AD10" s="721"/>
    </row>
    <row r="11" spans="1:30" s="687" customFormat="1" ht="20.100000000000001" customHeight="1">
      <c r="A11" s="720"/>
      <c r="B11" s="1663"/>
      <c r="C11" s="1675"/>
      <c r="D11" s="1675"/>
      <c r="E11" s="1662" t="s">
        <v>1100</v>
      </c>
      <c r="F11" s="1662"/>
      <c r="G11" s="1662"/>
      <c r="H11" s="1662"/>
      <c r="I11" s="1662"/>
      <c r="J11" s="1662"/>
      <c r="K11" s="1662"/>
      <c r="L11" s="1662"/>
      <c r="M11" s="1662"/>
      <c r="N11" s="1663"/>
      <c r="O11" s="1663"/>
      <c r="P11" s="1663"/>
      <c r="Q11" s="1663"/>
      <c r="R11" s="1663"/>
      <c r="S11" s="1663"/>
      <c r="T11" s="1663"/>
      <c r="U11" s="1663"/>
      <c r="V11" s="1663"/>
      <c r="W11" s="724"/>
      <c r="X11" s="724"/>
      <c r="Y11" s="724"/>
      <c r="Z11" s="724"/>
      <c r="AA11" s="74"/>
      <c r="AB11" s="724"/>
      <c r="AC11" s="724"/>
      <c r="AD11" s="721"/>
    </row>
    <row r="12" spans="1:30" s="687" customFormat="1" ht="50.1" customHeight="1">
      <c r="A12" s="720"/>
      <c r="B12" s="1663"/>
      <c r="C12" s="1676"/>
      <c r="D12" s="1676"/>
      <c r="E12" s="1677" t="s">
        <v>1101</v>
      </c>
      <c r="F12" s="1677"/>
      <c r="G12" s="1677"/>
      <c r="H12" s="1677"/>
      <c r="I12" s="1677"/>
      <c r="J12" s="1677"/>
      <c r="K12" s="1677"/>
      <c r="L12" s="1677"/>
      <c r="M12" s="1677"/>
      <c r="N12" s="1663"/>
      <c r="O12" s="1663"/>
      <c r="P12" s="1663"/>
      <c r="Q12" s="1663"/>
      <c r="R12" s="1663"/>
      <c r="S12" s="1663"/>
      <c r="T12" s="1663"/>
      <c r="U12" s="1663"/>
      <c r="V12" s="1663"/>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79" t="s">
        <v>1103</v>
      </c>
      <c r="C14" s="1679"/>
      <c r="D14" s="1679"/>
      <c r="E14" s="1679"/>
      <c r="F14" s="1679"/>
      <c r="G14" s="1679"/>
      <c r="H14" s="1679"/>
      <c r="I14" s="1679"/>
      <c r="J14" s="1679"/>
      <c r="K14" s="1679"/>
      <c r="L14" s="1679"/>
      <c r="M14" s="1679"/>
      <c r="N14" s="1679"/>
      <c r="O14" s="1679"/>
      <c r="P14" s="1679"/>
      <c r="Q14" s="1679"/>
      <c r="R14" s="1679"/>
      <c r="S14" s="1679"/>
      <c r="T14" s="1679"/>
      <c r="U14" s="1679"/>
      <c r="V14" s="1679"/>
      <c r="W14" s="1679"/>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1778</v>
      </c>
      <c r="Y15" s="437" t="str">
        <f>IF(W15="","×","○")</f>
        <v>○</v>
      </c>
      <c r="AA15" s="74"/>
    </row>
    <row r="16" spans="1:30" ht="25.5" customHeight="1" thickBot="1">
      <c r="A16" s="733">
        <v>2</v>
      </c>
      <c r="B16" s="1338" t="s">
        <v>1105</v>
      </c>
      <c r="C16" s="1339"/>
      <c r="D16" s="1455" t="s">
        <v>1861</v>
      </c>
      <c r="E16" s="1456"/>
      <c r="F16" s="1456"/>
      <c r="G16" s="1456"/>
      <c r="H16" s="1456"/>
      <c r="I16" s="1456"/>
      <c r="J16" s="1456"/>
      <c r="K16" s="1456"/>
      <c r="L16" s="1456"/>
      <c r="M16" s="1456"/>
      <c r="N16" s="1456"/>
      <c r="O16" s="1456"/>
      <c r="P16" s="1456"/>
      <c r="Q16" s="1456"/>
      <c r="R16" s="1456"/>
      <c r="S16" s="1456"/>
      <c r="T16" s="1456"/>
      <c r="U16" s="1456"/>
      <c r="V16" s="1456"/>
      <c r="W16" s="1457"/>
      <c r="Y16" s="439" t="str">
        <f>IF(AND($W$15="はい",D16=""),"×","○")</f>
        <v>○</v>
      </c>
      <c r="Z16" s="439"/>
      <c r="AA16" s="74"/>
    </row>
    <row r="17" spans="1:27" ht="25.5" customHeight="1" thickBot="1">
      <c r="A17" s="733">
        <v>3</v>
      </c>
      <c r="B17" s="1341" t="s">
        <v>1106</v>
      </c>
      <c r="C17" s="1650"/>
      <c r="D17" s="1651"/>
      <c r="E17" s="1651"/>
      <c r="F17" s="1651"/>
      <c r="G17" s="1651"/>
      <c r="H17" s="1651"/>
      <c r="I17" s="1651"/>
      <c r="J17" s="1651"/>
      <c r="K17" s="1651"/>
      <c r="L17" s="1651"/>
      <c r="M17" s="1651"/>
      <c r="N17" s="1395" t="s">
        <v>1860</v>
      </c>
      <c r="O17" s="1396"/>
      <c r="P17" s="1396"/>
      <c r="Q17" s="1396"/>
      <c r="R17" s="1396"/>
      <c r="S17" s="1396"/>
      <c r="T17" s="1396"/>
      <c r="U17" s="1396"/>
      <c r="V17" s="1680"/>
      <c r="W17" s="1681"/>
      <c r="Y17" s="439" t="str">
        <f>IF(AND($W$15="はい",N17=""),"×","○")</f>
        <v>○</v>
      </c>
      <c r="Z17" s="439"/>
      <c r="AA17" s="74"/>
    </row>
    <row r="18" spans="1:27" ht="50.1" customHeight="1" thickBot="1">
      <c r="A18" s="733">
        <v>4</v>
      </c>
      <c r="B18" s="1338" t="s">
        <v>1107</v>
      </c>
      <c r="C18" s="1339"/>
      <c r="D18" s="1268" t="s">
        <v>1862</v>
      </c>
      <c r="E18" s="1340"/>
      <c r="F18" s="1340"/>
      <c r="G18" s="1340"/>
      <c r="H18" s="1340"/>
      <c r="I18" s="1340"/>
      <c r="J18" s="1340"/>
      <c r="K18" s="1340"/>
      <c r="L18" s="1340"/>
      <c r="M18" s="1340"/>
      <c r="N18" s="1340"/>
      <c r="O18" s="1340"/>
      <c r="P18" s="1340"/>
      <c r="Q18" s="1340"/>
      <c r="R18" s="1340"/>
      <c r="S18" s="1340"/>
      <c r="T18" s="1340"/>
      <c r="U18" s="1340"/>
      <c r="V18" s="1340"/>
      <c r="W18" s="1269"/>
      <c r="Y18" s="439" t="str">
        <f>IF(AND($W$15="はい",D18=""),"×","○")</f>
        <v>○</v>
      </c>
      <c r="Z18" s="439"/>
      <c r="AA18" s="74"/>
    </row>
    <row r="19" spans="1:27" ht="25.5" customHeight="1" thickBot="1">
      <c r="A19" s="734">
        <v>5</v>
      </c>
      <c r="B19" s="1678" t="s">
        <v>1108</v>
      </c>
      <c r="C19" s="1648"/>
      <c r="D19" s="1649"/>
      <c r="E19" s="1649"/>
      <c r="F19" s="1649"/>
      <c r="G19" s="1649"/>
      <c r="H19" s="1649"/>
      <c r="I19" s="1649"/>
      <c r="J19" s="1649"/>
      <c r="K19" s="1649"/>
      <c r="L19" s="1649"/>
      <c r="M19" s="1649"/>
      <c r="N19" s="1649"/>
      <c r="O19" s="1649"/>
      <c r="P19" s="1649"/>
      <c r="Q19" s="1649"/>
      <c r="R19" s="1649"/>
      <c r="S19" s="1649"/>
      <c r="T19" s="1649"/>
      <c r="U19" s="1649"/>
      <c r="V19" s="1649"/>
      <c r="W19" s="36" t="s">
        <v>1778</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55" t="s">
        <v>1111</v>
      </c>
      <c r="C22" s="1656"/>
      <c r="D22" s="36" t="s">
        <v>1778</v>
      </c>
      <c r="E22" s="737" t="s">
        <v>1112</v>
      </c>
      <c r="F22" s="737"/>
      <c r="G22" s="737"/>
      <c r="H22" s="737"/>
      <c r="I22" s="737"/>
      <c r="J22" s="738"/>
      <c r="K22" s="1658" t="s">
        <v>1113</v>
      </c>
      <c r="L22" s="1658"/>
      <c r="M22" s="1658"/>
      <c r="N22" s="1658"/>
      <c r="O22" s="1658"/>
      <c r="P22" s="1658"/>
      <c r="Q22" s="1658"/>
      <c r="R22" s="1658"/>
      <c r="S22" s="1658"/>
      <c r="T22" s="1658"/>
      <c r="U22" s="1658"/>
      <c r="V22" s="1658"/>
      <c r="W22" s="1659"/>
      <c r="Y22" s="437" t="str">
        <f>IF(D22="","×","○")</f>
        <v>○</v>
      </c>
      <c r="AA22" s="74"/>
    </row>
    <row r="23" spans="1:27" ht="28.5" customHeight="1" thickBot="1">
      <c r="A23" s="733">
        <v>2</v>
      </c>
      <c r="B23" s="1345" t="s">
        <v>1114</v>
      </c>
      <c r="C23" s="1657"/>
      <c r="D23" s="37" t="s">
        <v>1778</v>
      </c>
      <c r="E23" s="462" t="s">
        <v>1112</v>
      </c>
      <c r="F23" s="462"/>
      <c r="G23" s="462"/>
      <c r="H23" s="462"/>
      <c r="I23" s="462"/>
      <c r="J23" s="739"/>
      <c r="K23" s="1660"/>
      <c r="L23" s="1660"/>
      <c r="M23" s="1660"/>
      <c r="N23" s="1660"/>
      <c r="O23" s="1660"/>
      <c r="P23" s="1660"/>
      <c r="Q23" s="1660"/>
      <c r="R23" s="1660"/>
      <c r="S23" s="1660"/>
      <c r="T23" s="1660"/>
      <c r="U23" s="1660"/>
      <c r="V23" s="1660"/>
      <c r="W23" s="1661"/>
      <c r="Y23" s="439" t="str">
        <f>IF(AND($D$22="はい",D23=""),"×","○")</f>
        <v>○</v>
      </c>
      <c r="Z23" s="439"/>
      <c r="AA23" s="74"/>
    </row>
    <row r="24" spans="1:27" ht="25.5" customHeight="1" thickBot="1">
      <c r="A24" s="733">
        <v>3</v>
      </c>
      <c r="B24" s="1338" t="s">
        <v>1105</v>
      </c>
      <c r="C24" s="1339"/>
      <c r="D24" s="1455" t="s">
        <v>1863</v>
      </c>
      <c r="E24" s="1456"/>
      <c r="F24" s="1456"/>
      <c r="G24" s="1456"/>
      <c r="H24" s="1456"/>
      <c r="I24" s="1456"/>
      <c r="J24" s="1456"/>
      <c r="K24" s="1456"/>
      <c r="L24" s="1456"/>
      <c r="M24" s="1456"/>
      <c r="N24" s="1456"/>
      <c r="O24" s="1456"/>
      <c r="P24" s="1456"/>
      <c r="Q24" s="1456"/>
      <c r="R24" s="1456"/>
      <c r="S24" s="1456"/>
      <c r="T24" s="1456"/>
      <c r="U24" s="1456"/>
      <c r="V24" s="1456"/>
      <c r="W24" s="1457"/>
      <c r="Y24" s="439" t="str">
        <f>IF(AND($D$22="はい",D24=""),"×","○")</f>
        <v>○</v>
      </c>
      <c r="Z24" s="439"/>
      <c r="AA24" s="74"/>
    </row>
    <row r="25" spans="1:27" ht="25.5" customHeight="1" thickBot="1">
      <c r="A25" s="733">
        <v>4</v>
      </c>
      <c r="B25" s="1338" t="s">
        <v>1115</v>
      </c>
      <c r="C25" s="1339"/>
      <c r="D25" s="1268" t="s">
        <v>1858</v>
      </c>
      <c r="E25" s="1340"/>
      <c r="F25" s="1340"/>
      <c r="G25" s="1340"/>
      <c r="H25" s="1340"/>
      <c r="I25" s="1340"/>
      <c r="J25" s="1340"/>
      <c r="K25" s="1340"/>
      <c r="L25" s="1340"/>
      <c r="M25" s="1340"/>
      <c r="N25" s="1340"/>
      <c r="O25" s="1340"/>
      <c r="P25" s="1340"/>
      <c r="Q25" s="1340"/>
      <c r="R25" s="1340"/>
      <c r="S25" s="1340"/>
      <c r="T25" s="1340"/>
      <c r="U25" s="1340"/>
      <c r="V25" s="1340"/>
      <c r="W25" s="1269"/>
      <c r="Y25" s="439" t="str">
        <f>IF(AND($D$22="はい",D25=""),"×","○")</f>
        <v>○</v>
      </c>
      <c r="Z25" s="439"/>
      <c r="AA25" s="74"/>
    </row>
    <row r="26" spans="1:27" ht="25.5" customHeight="1" thickBot="1">
      <c r="A26" s="733">
        <v>5</v>
      </c>
      <c r="B26" s="1345" t="s">
        <v>1116</v>
      </c>
      <c r="C26" s="1346"/>
      <c r="D26" s="1268" t="s">
        <v>1864</v>
      </c>
      <c r="E26" s="1340"/>
      <c r="F26" s="1340"/>
      <c r="G26" s="1340"/>
      <c r="H26" s="1340"/>
      <c r="I26" s="1340"/>
      <c r="J26" s="1340"/>
      <c r="K26" s="1340"/>
      <c r="L26" s="1340"/>
      <c r="M26" s="1340"/>
      <c r="N26" s="1340"/>
      <c r="O26" s="1340"/>
      <c r="P26" s="1340"/>
      <c r="Q26" s="1340"/>
      <c r="R26" s="1340"/>
      <c r="S26" s="1340"/>
      <c r="T26" s="1340"/>
      <c r="U26" s="1340"/>
      <c r="V26" s="1340"/>
      <c r="W26" s="1269"/>
      <c r="Y26" s="439" t="str">
        <f>IF(AND($D$22="はい",D26=""),"×","○")</f>
        <v>○</v>
      </c>
      <c r="Z26" s="439"/>
      <c r="AA26" s="74"/>
    </row>
    <row r="27" spans="1:27" ht="42.6" customHeight="1" thickBot="1">
      <c r="A27" s="733">
        <v>6</v>
      </c>
      <c r="B27" s="1672" t="s">
        <v>1117</v>
      </c>
      <c r="C27" s="1673"/>
      <c r="D27" s="38" t="s">
        <v>1865</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7" t="s">
        <v>1119</v>
      </c>
      <c r="C28" s="1648"/>
      <c r="D28" s="1649"/>
      <c r="E28" s="1649"/>
      <c r="F28" s="1649"/>
      <c r="G28" s="1649"/>
      <c r="H28" s="1649"/>
      <c r="I28" s="1649"/>
      <c r="J28" s="1649"/>
      <c r="K28" s="1649"/>
      <c r="L28" s="1649"/>
      <c r="M28" s="1649"/>
      <c r="N28" s="1649"/>
      <c r="O28" s="1649"/>
      <c r="P28" s="1649"/>
      <c r="Q28" s="1649"/>
      <c r="R28" s="1649"/>
      <c r="S28" s="1649"/>
      <c r="T28" s="1649"/>
      <c r="U28" s="1649"/>
      <c r="V28" s="1649"/>
      <c r="W28" s="36" t="s">
        <v>1777</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52" t="s">
        <v>1122</v>
      </c>
      <c r="C31" s="1653"/>
      <c r="D31" s="1654"/>
      <c r="E31" s="1654"/>
      <c r="F31" s="1654"/>
      <c r="G31" s="1654"/>
      <c r="H31" s="1654"/>
      <c r="I31" s="1654"/>
      <c r="J31" s="1654"/>
      <c r="K31" s="1654"/>
      <c r="L31" s="1654"/>
      <c r="M31" s="1654"/>
      <c r="N31" s="1654"/>
      <c r="O31" s="1654"/>
      <c r="P31" s="1654"/>
      <c r="Q31" s="1654"/>
      <c r="R31" s="1654"/>
      <c r="S31" s="1654"/>
      <c r="T31" s="1654"/>
      <c r="U31" s="1654"/>
      <c r="V31" s="1654"/>
      <c r="W31" s="36" t="s">
        <v>1777</v>
      </c>
      <c r="Y31" s="437" t="str">
        <f>IF(W31="","×","○")</f>
        <v>○</v>
      </c>
      <c r="AA31" s="74"/>
    </row>
    <row r="32" spans="1:27" ht="24" customHeight="1" thickBot="1">
      <c r="A32" s="733">
        <v>2</v>
      </c>
      <c r="B32" s="1338" t="s">
        <v>1105</v>
      </c>
      <c r="C32" s="1339"/>
      <c r="D32" s="1455"/>
      <c r="E32" s="1456"/>
      <c r="F32" s="1456"/>
      <c r="G32" s="1456"/>
      <c r="H32" s="1456"/>
      <c r="I32" s="1456"/>
      <c r="J32" s="1456"/>
      <c r="K32" s="1456"/>
      <c r="L32" s="1456"/>
      <c r="M32" s="1456"/>
      <c r="N32" s="1456"/>
      <c r="O32" s="1456"/>
      <c r="P32" s="1456"/>
      <c r="Q32" s="1456"/>
      <c r="R32" s="1456"/>
      <c r="S32" s="1456"/>
      <c r="T32" s="1456"/>
      <c r="U32" s="1456"/>
      <c r="V32" s="1456"/>
      <c r="W32" s="1457"/>
      <c r="Y32" s="439" t="str">
        <f>IF(AND($W$31="はい",D32=""),"×","○")</f>
        <v>○</v>
      </c>
      <c r="Z32" s="439"/>
      <c r="AA32" s="74"/>
    </row>
    <row r="33" spans="1:27" ht="25.5" customHeight="1" thickBot="1">
      <c r="A33" s="734">
        <v>3</v>
      </c>
      <c r="B33" s="1647" t="s">
        <v>1119</v>
      </c>
      <c r="C33" s="1648"/>
      <c r="D33" s="1649"/>
      <c r="E33" s="1649"/>
      <c r="F33" s="1649"/>
      <c r="G33" s="1649"/>
      <c r="H33" s="1649"/>
      <c r="I33" s="1649"/>
      <c r="J33" s="1649"/>
      <c r="K33" s="1649"/>
      <c r="L33" s="1649"/>
      <c r="M33" s="1649"/>
      <c r="N33" s="1649"/>
      <c r="O33" s="1649"/>
      <c r="P33" s="1649"/>
      <c r="Q33" s="1649"/>
      <c r="R33" s="1649"/>
      <c r="S33" s="1649"/>
      <c r="T33" s="1649"/>
      <c r="U33" s="1649"/>
      <c r="V33" s="1649"/>
      <c r="W33" s="36" t="s">
        <v>1777</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52" t="s">
        <v>1125</v>
      </c>
      <c r="C36" s="1653"/>
      <c r="D36" s="1654"/>
      <c r="E36" s="1654"/>
      <c r="F36" s="1654"/>
      <c r="G36" s="1654"/>
      <c r="H36" s="1654"/>
      <c r="I36" s="1654"/>
      <c r="J36" s="1654"/>
      <c r="K36" s="1654"/>
      <c r="L36" s="1654"/>
      <c r="M36" s="1654"/>
      <c r="N36" s="1654"/>
      <c r="O36" s="1654"/>
      <c r="P36" s="1654"/>
      <c r="Q36" s="1654"/>
      <c r="R36" s="1654"/>
      <c r="S36" s="1654"/>
      <c r="T36" s="1654"/>
      <c r="U36" s="1654"/>
      <c r="V36" s="1654"/>
      <c r="W36" s="36" t="s">
        <v>1777</v>
      </c>
      <c r="Y36" s="437" t="str">
        <f>IF(W36="","×","○")</f>
        <v>○</v>
      </c>
      <c r="AA36" s="74"/>
    </row>
    <row r="37" spans="1:27" ht="25.5" customHeight="1" thickBot="1">
      <c r="A37" s="733">
        <v>2</v>
      </c>
      <c r="B37" s="1338" t="s">
        <v>1105</v>
      </c>
      <c r="C37" s="1339"/>
      <c r="D37" s="1455"/>
      <c r="E37" s="1456"/>
      <c r="F37" s="1456"/>
      <c r="G37" s="1456"/>
      <c r="H37" s="1456"/>
      <c r="I37" s="1456"/>
      <c r="J37" s="1456"/>
      <c r="K37" s="1456"/>
      <c r="L37" s="1456"/>
      <c r="M37" s="1456"/>
      <c r="N37" s="1456"/>
      <c r="O37" s="1456"/>
      <c r="P37" s="1456"/>
      <c r="Q37" s="1456"/>
      <c r="R37" s="1456"/>
      <c r="S37" s="1456"/>
      <c r="T37" s="1456"/>
      <c r="U37" s="1456"/>
      <c r="V37" s="1456"/>
      <c r="W37" s="1457"/>
      <c r="Y37" s="439" t="str">
        <f>IF(AND($W$36="はい",D37=""),"×","○")</f>
        <v>○</v>
      </c>
      <c r="Z37" s="439"/>
      <c r="AA37" s="74"/>
    </row>
    <row r="38" spans="1:27" ht="20.25" customHeight="1" thickBot="1">
      <c r="A38" s="734">
        <v>3</v>
      </c>
      <c r="B38" s="1647" t="s">
        <v>1119</v>
      </c>
      <c r="C38" s="1648"/>
      <c r="D38" s="1649"/>
      <c r="E38" s="1649"/>
      <c r="F38" s="1649"/>
      <c r="G38" s="1649"/>
      <c r="H38" s="1649"/>
      <c r="I38" s="1649"/>
      <c r="J38" s="1649"/>
      <c r="K38" s="1649"/>
      <c r="L38" s="1649"/>
      <c r="M38" s="1649"/>
      <c r="N38" s="1649"/>
      <c r="O38" s="1649"/>
      <c r="P38" s="1649"/>
      <c r="Q38" s="1649"/>
      <c r="R38" s="1649"/>
      <c r="S38" s="1649"/>
      <c r="T38" s="1649"/>
      <c r="U38" s="1649"/>
      <c r="V38" s="1649"/>
      <c r="W38" s="36" t="s">
        <v>1777</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52" t="s">
        <v>1128</v>
      </c>
      <c r="C41" s="1653"/>
      <c r="D41" s="1654"/>
      <c r="E41" s="1654"/>
      <c r="F41" s="1654"/>
      <c r="G41" s="1654"/>
      <c r="H41" s="1654"/>
      <c r="I41" s="1654"/>
      <c r="J41" s="1654"/>
      <c r="K41" s="1654"/>
      <c r="L41" s="1654"/>
      <c r="M41" s="1654"/>
      <c r="N41" s="1654"/>
      <c r="O41" s="1654"/>
      <c r="P41" s="1654"/>
      <c r="Q41" s="1654"/>
      <c r="R41" s="1654"/>
      <c r="S41" s="1654"/>
      <c r="T41" s="1654"/>
      <c r="U41" s="1654"/>
      <c r="V41" s="1654"/>
      <c r="W41" s="36" t="s">
        <v>1777</v>
      </c>
      <c r="Y41" s="437" t="str">
        <f>IF(W41="","×","○")</f>
        <v>○</v>
      </c>
      <c r="AA41" s="74"/>
    </row>
    <row r="42" spans="1:27" ht="25.5" customHeight="1" thickBot="1">
      <c r="A42" s="733">
        <v>2</v>
      </c>
      <c r="B42" s="1345" t="s">
        <v>1105</v>
      </c>
      <c r="C42" s="1346"/>
      <c r="D42" s="1455"/>
      <c r="E42" s="1456"/>
      <c r="F42" s="1456"/>
      <c r="G42" s="1456"/>
      <c r="H42" s="1456"/>
      <c r="I42" s="1456"/>
      <c r="J42" s="1456"/>
      <c r="K42" s="1456"/>
      <c r="L42" s="1456"/>
      <c r="M42" s="1456"/>
      <c r="N42" s="1456"/>
      <c r="O42" s="1456"/>
      <c r="P42" s="1456"/>
      <c r="Q42" s="1456"/>
      <c r="R42" s="1456"/>
      <c r="S42" s="1456"/>
      <c r="T42" s="1456"/>
      <c r="U42" s="1456"/>
      <c r="V42" s="1456"/>
      <c r="W42" s="1457"/>
      <c r="Y42" s="439" t="str">
        <f>IF(AND($W$41="はい",D42=""),"×","○")</f>
        <v>○</v>
      </c>
      <c r="Z42" s="439"/>
      <c r="AA42" s="74"/>
    </row>
    <row r="43" spans="1:27" ht="18" customHeight="1" thickBot="1">
      <c r="A43" s="734">
        <v>3</v>
      </c>
      <c r="B43" s="1647" t="s">
        <v>1119</v>
      </c>
      <c r="C43" s="1648"/>
      <c r="D43" s="1649"/>
      <c r="E43" s="1649"/>
      <c r="F43" s="1649"/>
      <c r="G43" s="1649"/>
      <c r="H43" s="1649"/>
      <c r="I43" s="1649"/>
      <c r="J43" s="1649"/>
      <c r="K43" s="1649"/>
      <c r="L43" s="1649"/>
      <c r="M43" s="1649"/>
      <c r="N43" s="1649"/>
      <c r="O43" s="1649"/>
      <c r="P43" s="1649"/>
      <c r="Q43" s="1649"/>
      <c r="R43" s="1649"/>
      <c r="S43" s="1649"/>
      <c r="T43" s="1649"/>
      <c r="U43" s="1649"/>
      <c r="V43" s="1649"/>
      <c r="W43" s="36" t="s">
        <v>1777</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38"/>
      <c r="B47" s="1639"/>
      <c r="C47" s="1639"/>
      <c r="D47" s="1639"/>
      <c r="E47" s="1639"/>
      <c r="F47" s="1639"/>
      <c r="G47" s="1639"/>
      <c r="H47" s="1639"/>
      <c r="I47" s="1639"/>
      <c r="J47" s="1639"/>
      <c r="K47" s="1639"/>
      <c r="L47" s="1639"/>
      <c r="M47" s="1639"/>
      <c r="N47" s="1639"/>
      <c r="O47" s="1639"/>
      <c r="P47" s="1639"/>
      <c r="Q47" s="1639"/>
      <c r="R47" s="1639"/>
      <c r="S47" s="1639"/>
      <c r="T47" s="1639"/>
      <c r="U47" s="1639"/>
      <c r="V47" s="1639"/>
      <c r="W47" s="1640"/>
      <c r="AA47" s="74"/>
    </row>
    <row r="48" spans="1:27">
      <c r="A48" s="1641"/>
      <c r="B48" s="1642"/>
      <c r="C48" s="1642"/>
      <c r="D48" s="1642"/>
      <c r="E48" s="1642"/>
      <c r="F48" s="1642"/>
      <c r="G48" s="1642"/>
      <c r="H48" s="1642"/>
      <c r="I48" s="1642"/>
      <c r="J48" s="1642"/>
      <c r="K48" s="1642"/>
      <c r="L48" s="1642"/>
      <c r="M48" s="1642"/>
      <c r="N48" s="1642"/>
      <c r="O48" s="1642"/>
      <c r="P48" s="1642"/>
      <c r="Q48" s="1642"/>
      <c r="R48" s="1642"/>
      <c r="S48" s="1642"/>
      <c r="T48" s="1642"/>
      <c r="U48" s="1642"/>
      <c r="V48" s="1642"/>
      <c r="W48" s="1643"/>
      <c r="AA48" s="74"/>
    </row>
    <row r="49" spans="1:27">
      <c r="A49" s="1641"/>
      <c r="B49" s="1642"/>
      <c r="C49" s="1642"/>
      <c r="D49" s="1642"/>
      <c r="E49" s="1642"/>
      <c r="F49" s="1642"/>
      <c r="G49" s="1642"/>
      <c r="H49" s="1642"/>
      <c r="I49" s="1642"/>
      <c r="J49" s="1642"/>
      <c r="K49" s="1642"/>
      <c r="L49" s="1642"/>
      <c r="M49" s="1642"/>
      <c r="N49" s="1642"/>
      <c r="O49" s="1642"/>
      <c r="P49" s="1642"/>
      <c r="Q49" s="1642"/>
      <c r="R49" s="1642"/>
      <c r="S49" s="1642"/>
      <c r="T49" s="1642"/>
      <c r="U49" s="1642"/>
      <c r="V49" s="1642"/>
      <c r="W49" s="1643"/>
      <c r="AA49" s="74"/>
    </row>
    <row r="50" spans="1:27">
      <c r="A50" s="1641"/>
      <c r="B50" s="1642"/>
      <c r="C50" s="1642"/>
      <c r="D50" s="1642"/>
      <c r="E50" s="1642"/>
      <c r="F50" s="1642"/>
      <c r="G50" s="1642"/>
      <c r="H50" s="1642"/>
      <c r="I50" s="1642"/>
      <c r="J50" s="1642"/>
      <c r="K50" s="1642"/>
      <c r="L50" s="1642"/>
      <c r="M50" s="1642"/>
      <c r="N50" s="1642"/>
      <c r="O50" s="1642"/>
      <c r="P50" s="1642"/>
      <c r="Q50" s="1642"/>
      <c r="R50" s="1642"/>
      <c r="S50" s="1642"/>
      <c r="T50" s="1642"/>
      <c r="U50" s="1642"/>
      <c r="V50" s="1642"/>
      <c r="W50" s="1643"/>
      <c r="AA50" s="74"/>
    </row>
    <row r="51" spans="1:27">
      <c r="A51" s="1641"/>
      <c r="B51" s="1642"/>
      <c r="C51" s="1642"/>
      <c r="D51" s="1642"/>
      <c r="E51" s="1642"/>
      <c r="F51" s="1642"/>
      <c r="G51" s="1642"/>
      <c r="H51" s="1642"/>
      <c r="I51" s="1642"/>
      <c r="J51" s="1642"/>
      <c r="K51" s="1642"/>
      <c r="L51" s="1642"/>
      <c r="M51" s="1642"/>
      <c r="N51" s="1642"/>
      <c r="O51" s="1642"/>
      <c r="P51" s="1642"/>
      <c r="Q51" s="1642"/>
      <c r="R51" s="1642"/>
      <c r="S51" s="1642"/>
      <c r="T51" s="1642"/>
      <c r="U51" s="1642"/>
      <c r="V51" s="1642"/>
      <c r="W51" s="1643"/>
      <c r="AA51" s="74"/>
    </row>
    <row r="52" spans="1:27">
      <c r="A52" s="1641"/>
      <c r="B52" s="1642"/>
      <c r="C52" s="1642"/>
      <c r="D52" s="1642"/>
      <c r="E52" s="1642"/>
      <c r="F52" s="1642"/>
      <c r="G52" s="1642"/>
      <c r="H52" s="1642"/>
      <c r="I52" s="1642"/>
      <c r="J52" s="1642"/>
      <c r="K52" s="1642"/>
      <c r="L52" s="1642"/>
      <c r="M52" s="1642"/>
      <c r="N52" s="1642"/>
      <c r="O52" s="1642"/>
      <c r="P52" s="1642"/>
      <c r="Q52" s="1642"/>
      <c r="R52" s="1642"/>
      <c r="S52" s="1642"/>
      <c r="T52" s="1642"/>
      <c r="U52" s="1642"/>
      <c r="V52" s="1642"/>
      <c r="W52" s="1643"/>
      <c r="AA52" s="74"/>
    </row>
    <row r="53" spans="1:27">
      <c r="A53" s="1641"/>
      <c r="B53" s="1642"/>
      <c r="C53" s="1642"/>
      <c r="D53" s="1642"/>
      <c r="E53" s="1642"/>
      <c r="F53" s="1642"/>
      <c r="G53" s="1642"/>
      <c r="H53" s="1642"/>
      <c r="I53" s="1642"/>
      <c r="J53" s="1642"/>
      <c r="K53" s="1642"/>
      <c r="L53" s="1642"/>
      <c r="M53" s="1642"/>
      <c r="N53" s="1642"/>
      <c r="O53" s="1642"/>
      <c r="P53" s="1642"/>
      <c r="Q53" s="1642"/>
      <c r="R53" s="1642"/>
      <c r="S53" s="1642"/>
      <c r="T53" s="1642"/>
      <c r="U53" s="1642"/>
      <c r="V53" s="1642"/>
      <c r="W53" s="1643"/>
      <c r="AA53" s="74"/>
    </row>
    <row r="54" spans="1:27">
      <c r="A54" s="1641"/>
      <c r="B54" s="1642"/>
      <c r="C54" s="1642"/>
      <c r="D54" s="1642"/>
      <c r="E54" s="1642"/>
      <c r="F54" s="1642"/>
      <c r="G54" s="1642"/>
      <c r="H54" s="1642"/>
      <c r="I54" s="1642"/>
      <c r="J54" s="1642"/>
      <c r="K54" s="1642"/>
      <c r="L54" s="1642"/>
      <c r="M54" s="1642"/>
      <c r="N54" s="1642"/>
      <c r="O54" s="1642"/>
      <c r="P54" s="1642"/>
      <c r="Q54" s="1642"/>
      <c r="R54" s="1642"/>
      <c r="S54" s="1642"/>
      <c r="T54" s="1642"/>
      <c r="U54" s="1642"/>
      <c r="V54" s="1642"/>
      <c r="W54" s="1643"/>
      <c r="AA54" s="74"/>
    </row>
    <row r="55" spans="1:27">
      <c r="A55" s="1641"/>
      <c r="B55" s="1642"/>
      <c r="C55" s="1642"/>
      <c r="D55" s="1642"/>
      <c r="E55" s="1642"/>
      <c r="F55" s="1642"/>
      <c r="G55" s="1642"/>
      <c r="H55" s="1642"/>
      <c r="I55" s="1642"/>
      <c r="J55" s="1642"/>
      <c r="K55" s="1642"/>
      <c r="L55" s="1642"/>
      <c r="M55" s="1642"/>
      <c r="N55" s="1642"/>
      <c r="O55" s="1642"/>
      <c r="P55" s="1642"/>
      <c r="Q55" s="1642"/>
      <c r="R55" s="1642"/>
      <c r="S55" s="1642"/>
      <c r="T55" s="1642"/>
      <c r="U55" s="1642"/>
      <c r="V55" s="1642"/>
      <c r="W55" s="1643"/>
      <c r="AA55" s="74"/>
    </row>
    <row r="56" spans="1:27">
      <c r="A56" s="1641"/>
      <c r="B56" s="1642"/>
      <c r="C56" s="1642"/>
      <c r="D56" s="1642"/>
      <c r="E56" s="1642"/>
      <c r="F56" s="1642"/>
      <c r="G56" s="1642"/>
      <c r="H56" s="1642"/>
      <c r="I56" s="1642"/>
      <c r="J56" s="1642"/>
      <c r="K56" s="1642"/>
      <c r="L56" s="1642"/>
      <c r="M56" s="1642"/>
      <c r="N56" s="1642"/>
      <c r="O56" s="1642"/>
      <c r="P56" s="1642"/>
      <c r="Q56" s="1642"/>
      <c r="R56" s="1642"/>
      <c r="S56" s="1642"/>
      <c r="T56" s="1642"/>
      <c r="U56" s="1642"/>
      <c r="V56" s="1642"/>
      <c r="W56" s="1643"/>
      <c r="AA56" s="74"/>
    </row>
    <row r="57" spans="1:27">
      <c r="A57" s="1641"/>
      <c r="B57" s="1642"/>
      <c r="C57" s="1642"/>
      <c r="D57" s="1642"/>
      <c r="E57" s="1642"/>
      <c r="F57" s="1642"/>
      <c r="G57" s="1642"/>
      <c r="H57" s="1642"/>
      <c r="I57" s="1642"/>
      <c r="J57" s="1642"/>
      <c r="K57" s="1642"/>
      <c r="L57" s="1642"/>
      <c r="M57" s="1642"/>
      <c r="N57" s="1642"/>
      <c r="O57" s="1642"/>
      <c r="P57" s="1642"/>
      <c r="Q57" s="1642"/>
      <c r="R57" s="1642"/>
      <c r="S57" s="1642"/>
      <c r="T57" s="1642"/>
      <c r="U57" s="1642"/>
      <c r="V57" s="1642"/>
      <c r="W57" s="1643"/>
      <c r="AA57" s="74"/>
    </row>
    <row r="58" spans="1:27">
      <c r="A58" s="1641"/>
      <c r="B58" s="1642"/>
      <c r="C58" s="1642"/>
      <c r="D58" s="1642"/>
      <c r="E58" s="1642"/>
      <c r="F58" s="1642"/>
      <c r="G58" s="1642"/>
      <c r="H58" s="1642"/>
      <c r="I58" s="1642"/>
      <c r="J58" s="1642"/>
      <c r="K58" s="1642"/>
      <c r="L58" s="1642"/>
      <c r="M58" s="1642"/>
      <c r="N58" s="1642"/>
      <c r="O58" s="1642"/>
      <c r="P58" s="1642"/>
      <c r="Q58" s="1642"/>
      <c r="R58" s="1642"/>
      <c r="S58" s="1642"/>
      <c r="T58" s="1642"/>
      <c r="U58" s="1642"/>
      <c r="V58" s="1642"/>
      <c r="W58" s="1643"/>
      <c r="AA58" s="74"/>
    </row>
    <row r="59" spans="1:27">
      <c r="A59" s="1641"/>
      <c r="B59" s="1642"/>
      <c r="C59" s="1642"/>
      <c r="D59" s="1642"/>
      <c r="E59" s="1642"/>
      <c r="F59" s="1642"/>
      <c r="G59" s="1642"/>
      <c r="H59" s="1642"/>
      <c r="I59" s="1642"/>
      <c r="J59" s="1642"/>
      <c r="K59" s="1642"/>
      <c r="L59" s="1642"/>
      <c r="M59" s="1642"/>
      <c r="N59" s="1642"/>
      <c r="O59" s="1642"/>
      <c r="P59" s="1642"/>
      <c r="Q59" s="1642"/>
      <c r="R59" s="1642"/>
      <c r="S59" s="1642"/>
      <c r="T59" s="1642"/>
      <c r="U59" s="1642"/>
      <c r="V59" s="1642"/>
      <c r="W59" s="1643"/>
      <c r="AA59" s="74"/>
    </row>
    <row r="60" spans="1:27">
      <c r="A60" s="1641"/>
      <c r="B60" s="1642"/>
      <c r="C60" s="1642"/>
      <c r="D60" s="1642"/>
      <c r="E60" s="1642"/>
      <c r="F60" s="1642"/>
      <c r="G60" s="1642"/>
      <c r="H60" s="1642"/>
      <c r="I60" s="1642"/>
      <c r="J60" s="1642"/>
      <c r="K60" s="1642"/>
      <c r="L60" s="1642"/>
      <c r="M60" s="1642"/>
      <c r="N60" s="1642"/>
      <c r="O60" s="1642"/>
      <c r="P60" s="1642"/>
      <c r="Q60" s="1642"/>
      <c r="R60" s="1642"/>
      <c r="S60" s="1642"/>
      <c r="T60" s="1642"/>
      <c r="U60" s="1642"/>
      <c r="V60" s="1642"/>
      <c r="W60" s="1643"/>
      <c r="AA60" s="74"/>
    </row>
    <row r="61" spans="1:27">
      <c r="A61" s="1641"/>
      <c r="B61" s="1642"/>
      <c r="C61" s="1642"/>
      <c r="D61" s="1642"/>
      <c r="E61" s="1642"/>
      <c r="F61" s="1642"/>
      <c r="G61" s="1642"/>
      <c r="H61" s="1642"/>
      <c r="I61" s="1642"/>
      <c r="J61" s="1642"/>
      <c r="K61" s="1642"/>
      <c r="L61" s="1642"/>
      <c r="M61" s="1642"/>
      <c r="N61" s="1642"/>
      <c r="O61" s="1642"/>
      <c r="P61" s="1642"/>
      <c r="Q61" s="1642"/>
      <c r="R61" s="1642"/>
      <c r="S61" s="1642"/>
      <c r="T61" s="1642"/>
      <c r="U61" s="1642"/>
      <c r="V61" s="1642"/>
      <c r="W61" s="1643"/>
      <c r="AA61" s="74"/>
    </row>
    <row r="62" spans="1:27" ht="12.75" thickBot="1">
      <c r="A62" s="1644"/>
      <c r="B62" s="1645"/>
      <c r="C62" s="1645"/>
      <c r="D62" s="1645"/>
      <c r="E62" s="1645"/>
      <c r="F62" s="1645"/>
      <c r="G62" s="1645"/>
      <c r="H62" s="1645"/>
      <c r="I62" s="1645"/>
      <c r="J62" s="1645"/>
      <c r="K62" s="1645"/>
      <c r="L62" s="1645"/>
      <c r="M62" s="1645"/>
      <c r="N62" s="1645"/>
      <c r="O62" s="1645"/>
      <c r="P62" s="1645"/>
      <c r="Q62" s="1645"/>
      <c r="R62" s="1645"/>
      <c r="S62" s="1645"/>
      <c r="T62" s="1645"/>
      <c r="U62" s="1645"/>
      <c r="V62" s="1645"/>
      <c r="W62" s="1646"/>
      <c r="AA62" s="113"/>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7" zoomScale="115" zoomScaleNormal="100" zoomScaleSheetLayoutView="115" workbookViewId="0">
      <selection activeCell="G15" sqref="G15"/>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5" t="s">
        <v>1132</v>
      </c>
      <c r="B1" s="1683"/>
      <c r="C1" s="1683"/>
      <c r="D1" s="1683"/>
      <c r="E1" s="1683"/>
      <c r="F1" s="1683"/>
      <c r="G1" s="1683"/>
      <c r="J1" s="53"/>
    </row>
    <row r="2" spans="1:11" ht="35.1" customHeight="1" thickBot="1">
      <c r="A2" s="1277" t="s">
        <v>832</v>
      </c>
      <c r="B2" s="1277"/>
      <c r="C2" s="1277"/>
      <c r="D2" s="1277"/>
      <c r="E2" s="1277"/>
      <c r="F2" s="1296"/>
      <c r="G2" s="717" t="str">
        <f>IF(COUNTIF(I12,"×")&gt;=1,"未入力あり","入力済")</f>
        <v>入力済</v>
      </c>
      <c r="H2" s="1627"/>
      <c r="I2" s="705"/>
      <c r="J2" s="53"/>
    </row>
    <row r="3" spans="1:11" ht="5.0999999999999996" customHeight="1">
      <c r="A3" s="410"/>
      <c r="B3" s="410"/>
      <c r="C3" s="410"/>
      <c r="D3" s="410"/>
      <c r="E3" s="410"/>
      <c r="F3" s="410"/>
      <c r="G3" s="410"/>
      <c r="H3" s="1627"/>
      <c r="I3" s="705"/>
      <c r="J3" s="8"/>
    </row>
    <row r="4" spans="1:11" ht="20.100000000000001" customHeight="1">
      <c r="A4" s="410"/>
      <c r="B4" s="410"/>
      <c r="C4" s="410" t="s">
        <v>1133</v>
      </c>
      <c r="D4" s="410"/>
      <c r="E4" s="410"/>
      <c r="F4" s="719" t="s">
        <v>725</v>
      </c>
      <c r="G4" s="747" t="str">
        <f>表紙!E2</f>
        <v>社会医療法人生長会　ベルランド総合病院</v>
      </c>
      <c r="H4" s="1627"/>
      <c r="I4" s="705"/>
      <c r="J4" s="53"/>
    </row>
    <row r="5" spans="1:11" ht="20.100000000000001" customHeight="1">
      <c r="F5" s="1096" t="s">
        <v>878</v>
      </c>
      <c r="G5" s="1" t="str">
        <f>別紙1未充足要件!E5</f>
        <v>令和７年９月１日時点</v>
      </c>
      <c r="K5" s="139" t="s">
        <v>204</v>
      </c>
    </row>
    <row r="6" spans="1:11" ht="20.100000000000001" customHeight="1">
      <c r="A6" s="1687" t="s">
        <v>1134</v>
      </c>
      <c r="B6" s="1687"/>
      <c r="C6" s="1687"/>
      <c r="D6" s="1687"/>
      <c r="E6" s="1687"/>
      <c r="F6" s="1687"/>
      <c r="G6" s="1687"/>
      <c r="K6" s="74"/>
    </row>
    <row r="7" spans="1:11" ht="65.25" customHeight="1">
      <c r="A7" s="1688" t="s">
        <v>1135</v>
      </c>
      <c r="B7" s="1689"/>
      <c r="C7" s="1689"/>
      <c r="D7" s="1689"/>
      <c r="E7" s="1689"/>
      <c r="F7" s="1689"/>
      <c r="G7" s="1689"/>
      <c r="K7" s="74"/>
    </row>
    <row r="8" spans="1:11" ht="27.95" customHeight="1">
      <c r="A8" s="1684"/>
      <c r="B8" s="1685" t="s">
        <v>1136</v>
      </c>
      <c r="C8" s="1686" t="s">
        <v>1137</v>
      </c>
      <c r="D8" s="1686" t="s">
        <v>1138</v>
      </c>
      <c r="E8" s="1682" t="s">
        <v>1139</v>
      </c>
      <c r="F8" s="1682" t="s">
        <v>1140</v>
      </c>
      <c r="G8" s="394" t="s">
        <v>1141</v>
      </c>
      <c r="K8" s="74"/>
    </row>
    <row r="9" spans="1:11" ht="18" customHeight="1">
      <c r="A9" s="1684"/>
      <c r="B9" s="1685"/>
      <c r="C9" s="1686"/>
      <c r="D9" s="1686"/>
      <c r="E9" s="1682"/>
      <c r="F9" s="1682"/>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18</v>
      </c>
      <c r="D12" s="46">
        <v>18</v>
      </c>
      <c r="E12" s="45" t="s">
        <v>1836</v>
      </c>
      <c r="F12" s="45" t="s">
        <v>1021</v>
      </c>
      <c r="G12" s="44" t="s">
        <v>1868</v>
      </c>
      <c r="H12" s="759"/>
      <c r="I12" s="551" t="str">
        <f>IF(AND(B12&lt;&gt;"",C12&lt;&gt;"",D12&lt;&gt;"",E12&lt;&gt;"",F12&lt;&gt;"",G12&lt;&gt;""),"○","×")</f>
        <v>○</v>
      </c>
      <c r="K12" s="74"/>
    </row>
    <row r="13" spans="1:11" ht="36" customHeight="1" thickBot="1">
      <c r="A13" s="758">
        <v>2</v>
      </c>
      <c r="B13" s="45" t="s">
        <v>1143</v>
      </c>
      <c r="C13" s="46">
        <v>7</v>
      </c>
      <c r="D13" s="46">
        <v>7</v>
      </c>
      <c r="E13" s="45" t="s">
        <v>1836</v>
      </c>
      <c r="F13" s="45" t="s">
        <v>1866</v>
      </c>
      <c r="G13" s="44" t="s">
        <v>1868</v>
      </c>
      <c r="K13" s="74"/>
    </row>
    <row r="14" spans="1:11" ht="36" customHeight="1" thickBot="1">
      <c r="A14" s="758">
        <v>3</v>
      </c>
      <c r="B14" s="45" t="s">
        <v>1143</v>
      </c>
      <c r="C14" s="46">
        <v>2</v>
      </c>
      <c r="D14" s="46">
        <v>2</v>
      </c>
      <c r="E14" s="45" t="s">
        <v>1836</v>
      </c>
      <c r="F14" s="45" t="s">
        <v>1867</v>
      </c>
      <c r="G14" s="44" t="s">
        <v>1869</v>
      </c>
      <c r="K14" s="74"/>
    </row>
    <row r="15" spans="1:11" ht="36" customHeight="1" thickBot="1">
      <c r="A15" s="758">
        <v>4</v>
      </c>
      <c r="B15" s="45" t="s">
        <v>1143</v>
      </c>
      <c r="C15" s="46">
        <v>2</v>
      </c>
      <c r="D15" s="46">
        <v>1</v>
      </c>
      <c r="E15" s="45" t="s">
        <v>1836</v>
      </c>
      <c r="F15" s="45" t="s">
        <v>1867</v>
      </c>
      <c r="G15" s="44" t="s">
        <v>1870</v>
      </c>
      <c r="K15" s="74"/>
    </row>
    <row r="16" spans="1:11" ht="36" customHeight="1" thickBot="1">
      <c r="A16" s="758">
        <v>5</v>
      </c>
      <c r="B16" s="45" t="s">
        <v>1143</v>
      </c>
      <c r="C16" s="46">
        <v>1</v>
      </c>
      <c r="D16" s="46">
        <v>1</v>
      </c>
      <c r="E16" s="45" t="s">
        <v>1836</v>
      </c>
      <c r="F16" s="45" t="s">
        <v>1021</v>
      </c>
      <c r="G16" s="44" t="s">
        <v>1870</v>
      </c>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5" t="s">
        <v>1150</v>
      </c>
      <c r="B1" s="1295"/>
      <c r="C1" s="1295"/>
      <c r="D1" s="1295"/>
      <c r="E1" s="1295"/>
      <c r="F1" s="1295"/>
      <c r="G1" s="1295"/>
      <c r="H1" s="1295"/>
      <c r="I1" s="1295"/>
      <c r="J1" s="1295"/>
      <c r="K1" s="1295"/>
      <c r="L1" s="1295"/>
      <c r="M1" s="1295"/>
      <c r="N1" s="1295"/>
      <c r="O1" s="1295"/>
      <c r="P1" s="1295"/>
      <c r="Q1" s="1295"/>
      <c r="R1" s="1295"/>
      <c r="S1" s="1295"/>
      <c r="T1" s="1295"/>
      <c r="U1" s="1295"/>
      <c r="V1" s="1295"/>
      <c r="W1" s="1295"/>
      <c r="Y1" s="53"/>
      <c r="Z1" s="83"/>
    </row>
    <row r="2" spans="1:29" ht="24.95" customHeight="1" thickBot="1">
      <c r="A2" s="1717" t="s">
        <v>832</v>
      </c>
      <c r="B2" s="1717"/>
      <c r="C2" s="1717"/>
      <c r="D2" s="1717"/>
      <c r="E2" s="1717"/>
      <c r="F2" s="1717"/>
      <c r="G2" s="1717"/>
      <c r="H2" s="1717"/>
      <c r="I2" s="1717"/>
      <c r="J2" s="1717"/>
      <c r="K2" s="1717"/>
      <c r="L2" s="1717"/>
      <c r="M2" s="1717"/>
      <c r="N2" s="1717"/>
      <c r="O2" s="1717"/>
      <c r="P2" s="1717"/>
      <c r="Q2" s="1717"/>
      <c r="R2" s="1717"/>
      <c r="S2" s="1718"/>
      <c r="T2" s="1714" t="str">
        <f>IF(COUNTIF(Y7:Y35,"×")&gt;=1,"未入力あり","入力済")</f>
        <v>入力済</v>
      </c>
      <c r="U2" s="1715"/>
      <c r="V2" s="1715"/>
      <c r="W2" s="1716"/>
      <c r="X2" s="1627"/>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27"/>
    </row>
    <row r="4" spans="1:29" ht="20.100000000000001" customHeight="1">
      <c r="A4" s="433"/>
      <c r="B4" s="433"/>
      <c r="C4" s="433"/>
      <c r="D4" s="761" t="s">
        <v>725</v>
      </c>
      <c r="E4" s="1711" t="str">
        <f>表紙!E2</f>
        <v>社会医療法人生長会　ベルランド総合病院</v>
      </c>
      <c r="F4" s="1712"/>
      <c r="G4" s="1712"/>
      <c r="H4" s="1712"/>
      <c r="I4" s="1712"/>
      <c r="J4" s="1712"/>
      <c r="K4" s="1712"/>
      <c r="L4" s="1712"/>
      <c r="M4" s="1712"/>
      <c r="N4" s="1712"/>
      <c r="O4" s="1712"/>
      <c r="P4" s="1712"/>
      <c r="Q4" s="1712"/>
      <c r="R4" s="1712"/>
      <c r="S4" s="1712"/>
      <c r="T4" s="1712"/>
      <c r="U4" s="1712"/>
      <c r="V4" s="1712"/>
      <c r="W4" s="1713"/>
      <c r="X4" s="1627"/>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725" t="s">
        <v>1153</v>
      </c>
      <c r="C6" s="1725"/>
      <c r="D6" s="1725"/>
      <c r="E6" s="1725"/>
      <c r="F6" s="1725"/>
      <c r="G6" s="1725"/>
      <c r="H6" s="1725"/>
      <c r="I6" s="1725"/>
      <c r="J6" s="1725"/>
      <c r="K6" s="1725"/>
      <c r="L6" s="1725"/>
      <c r="M6" s="1725"/>
      <c r="N6" s="1725"/>
      <c r="O6" s="1725"/>
      <c r="P6" s="1725"/>
      <c r="Q6" s="1725"/>
      <c r="R6" s="1725"/>
      <c r="S6" s="1725"/>
      <c r="T6" s="1725"/>
      <c r="U6" s="1725"/>
      <c r="V6" s="1725"/>
      <c r="W6" s="1725"/>
      <c r="Z6" s="765"/>
      <c r="AA6" s="123"/>
    </row>
    <row r="7" spans="1:29" ht="21" customHeight="1" thickBot="1">
      <c r="A7" s="1449">
        <v>1</v>
      </c>
      <c r="B7" s="1722" t="s">
        <v>1154</v>
      </c>
      <c r="C7" s="1723"/>
      <c r="D7" s="1723"/>
      <c r="E7" s="1723"/>
      <c r="F7" s="1723"/>
      <c r="G7" s="1723"/>
      <c r="H7" s="1723"/>
      <c r="I7" s="1723"/>
      <c r="J7" s="1723"/>
      <c r="K7" s="1723"/>
      <c r="L7" s="1724"/>
      <c r="M7" s="1398" t="s">
        <v>1874</v>
      </c>
      <c r="N7" s="1694"/>
      <c r="O7" s="1694"/>
      <c r="P7" s="1694"/>
      <c r="Q7" s="1694"/>
      <c r="R7" s="1694"/>
      <c r="S7" s="1694"/>
      <c r="T7" s="1694"/>
      <c r="U7" s="1694"/>
      <c r="V7" s="1694"/>
      <c r="W7" s="1695"/>
      <c r="X7" s="439"/>
      <c r="Y7" s="437" t="str">
        <f>IF(M7="","×","○")</f>
        <v>○</v>
      </c>
      <c r="Z7" s="765"/>
      <c r="AA7" s="123"/>
    </row>
    <row r="8" spans="1:29" ht="15" customHeight="1" thickBot="1">
      <c r="A8" s="1357"/>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57"/>
      <c r="B9" s="770" t="s">
        <v>1156</v>
      </c>
      <c r="C9" s="771"/>
      <c r="D9" s="772"/>
      <c r="E9" s="1696" t="s">
        <v>1157</v>
      </c>
      <c r="F9" s="1696"/>
      <c r="G9" s="1697"/>
      <c r="H9" s="1698"/>
      <c r="I9" s="1699"/>
      <c r="J9" s="1700" t="s">
        <v>1158</v>
      </c>
      <c r="K9" s="1701"/>
      <c r="L9" s="1698"/>
      <c r="M9" s="1699"/>
      <c r="N9" s="1700" t="s">
        <v>1159</v>
      </c>
      <c r="O9" s="1702"/>
      <c r="P9" s="1701"/>
      <c r="Q9" s="1698"/>
      <c r="R9" s="1699"/>
      <c r="S9" s="1700" t="s">
        <v>1160</v>
      </c>
      <c r="T9" s="1702"/>
      <c r="U9" s="1702"/>
      <c r="V9" s="1701"/>
      <c r="W9" s="47" t="s">
        <v>829</v>
      </c>
      <c r="X9" s="439"/>
      <c r="Y9" s="439" t="str">
        <f>IF(AND(M7="臨床試験専用の窓口がある",AND(H9="",L9="",Q9="",W9="")),"×","○")</f>
        <v>○</v>
      </c>
      <c r="Z9" s="765"/>
      <c r="AA9" s="123"/>
    </row>
    <row r="10" spans="1:29" ht="21" customHeight="1" thickBot="1">
      <c r="A10" s="1357"/>
      <c r="B10" s="1454" t="s">
        <v>846</v>
      </c>
      <c r="C10" s="1454"/>
      <c r="D10" s="1455" t="s">
        <v>1871</v>
      </c>
      <c r="E10" s="1456"/>
      <c r="F10" s="1456"/>
      <c r="G10" s="1456"/>
      <c r="H10" s="1456"/>
      <c r="I10" s="1456"/>
      <c r="J10" s="1456"/>
      <c r="K10" s="1456"/>
      <c r="L10" s="1456"/>
      <c r="M10" s="1456"/>
      <c r="N10" s="1456"/>
      <c r="O10" s="1456"/>
      <c r="P10" s="1456"/>
      <c r="Q10" s="1456"/>
      <c r="R10" s="1456"/>
      <c r="S10" s="1456"/>
      <c r="T10" s="1456"/>
      <c r="U10" s="1456"/>
      <c r="V10" s="1456"/>
      <c r="W10" s="1457"/>
      <c r="X10" s="439"/>
      <c r="Y10" s="439" t="str">
        <f>IF(AND(H9="○",D10=""),"×","○")</f>
        <v>○</v>
      </c>
      <c r="Z10" s="765"/>
      <c r="AA10" s="123"/>
    </row>
    <row r="11" spans="1:29" ht="54" customHeight="1" thickBot="1">
      <c r="A11" s="1357"/>
      <c r="B11" s="1703" t="s">
        <v>1161</v>
      </c>
      <c r="C11" s="773" t="s">
        <v>842</v>
      </c>
      <c r="D11" s="1268" t="s">
        <v>1872</v>
      </c>
      <c r="E11" s="1340"/>
      <c r="F11" s="1340"/>
      <c r="G11" s="1340"/>
      <c r="H11" s="1340"/>
      <c r="I11" s="1340"/>
      <c r="J11" s="1340"/>
      <c r="K11" s="1340"/>
      <c r="L11" s="1340"/>
      <c r="M11" s="1340"/>
      <c r="N11" s="1340"/>
      <c r="O11" s="1340"/>
      <c r="P11" s="1340"/>
      <c r="Q11" s="1340"/>
      <c r="R11" s="1340"/>
      <c r="S11" s="1340"/>
      <c r="T11" s="1340"/>
      <c r="U11" s="1340"/>
      <c r="V11" s="1340"/>
      <c r="W11" s="1269"/>
      <c r="X11" s="439"/>
      <c r="Y11" s="439"/>
      <c r="Z11" s="765"/>
      <c r="AA11" s="123"/>
    </row>
    <row r="12" spans="1:29" ht="21" customHeight="1" thickBot="1">
      <c r="A12" s="1357"/>
      <c r="B12" s="1704"/>
      <c r="C12" s="774" t="s">
        <v>866</v>
      </c>
      <c r="D12" s="1268" t="s">
        <v>1873</v>
      </c>
      <c r="E12" s="1340"/>
      <c r="F12" s="1340"/>
      <c r="G12" s="1340"/>
      <c r="H12" s="1340"/>
      <c r="I12" s="1340"/>
      <c r="J12" s="1340"/>
      <c r="K12" s="1340"/>
      <c r="L12" s="1340"/>
      <c r="M12" s="1340"/>
      <c r="N12" s="1340"/>
      <c r="O12" s="1340"/>
      <c r="P12" s="1340"/>
      <c r="Q12" s="1340"/>
      <c r="R12" s="1340"/>
      <c r="S12" s="1340"/>
      <c r="T12" s="1340"/>
      <c r="U12" s="1340"/>
      <c r="V12" s="1340"/>
      <c r="W12" s="1269"/>
      <c r="X12" s="439"/>
      <c r="Y12" s="439"/>
      <c r="Z12" s="765"/>
      <c r="AA12" s="123"/>
    </row>
    <row r="13" spans="1:29" ht="21" customHeight="1" thickBot="1">
      <c r="A13" s="1358"/>
      <c r="B13" s="1705" t="s">
        <v>847</v>
      </c>
      <c r="C13" s="1706"/>
      <c r="D13" s="1573" t="s">
        <v>1764</v>
      </c>
      <c r="E13" s="1574"/>
      <c r="F13" s="1574"/>
      <c r="G13" s="1574"/>
      <c r="H13" s="1574"/>
      <c r="I13" s="1574"/>
      <c r="J13" s="1575"/>
      <c r="K13" s="1690" t="s">
        <v>848</v>
      </c>
      <c r="L13" s="1690"/>
      <c r="M13" s="1690"/>
      <c r="N13" s="1373"/>
      <c r="O13" s="1374"/>
      <c r="P13" s="1374"/>
      <c r="Q13" s="1374"/>
      <c r="R13" s="1374"/>
      <c r="S13" s="1374"/>
      <c r="T13" s="1374"/>
      <c r="U13" s="1374"/>
      <c r="V13" s="1374"/>
      <c r="W13" s="1375"/>
      <c r="X13" s="439"/>
      <c r="Y13" s="439" t="str">
        <f>IF(AND(L9="○",D13=""),"×","○")</f>
        <v>○</v>
      </c>
      <c r="Z13" s="765"/>
      <c r="AA13" s="123"/>
    </row>
    <row r="14" spans="1:29" ht="21.75" customHeight="1">
      <c r="A14" s="1449">
        <v>2</v>
      </c>
      <c r="B14" s="1691" t="s">
        <v>1162</v>
      </c>
      <c r="C14" s="1692"/>
      <c r="D14" s="1692"/>
      <c r="E14" s="1692"/>
      <c r="F14" s="1692"/>
      <c r="G14" s="1692"/>
      <c r="H14" s="1692"/>
      <c r="I14" s="1692"/>
      <c r="J14" s="1692"/>
      <c r="K14" s="1692"/>
      <c r="L14" s="1710"/>
      <c r="M14" s="1719" t="s">
        <v>1874</v>
      </c>
      <c r="N14" s="1720"/>
      <c r="O14" s="1720"/>
      <c r="P14" s="1720"/>
      <c r="Q14" s="1720"/>
      <c r="R14" s="1720"/>
      <c r="S14" s="1720"/>
      <c r="T14" s="1720"/>
      <c r="U14" s="1720"/>
      <c r="V14" s="1720"/>
      <c r="W14" s="1721"/>
      <c r="X14" s="439"/>
      <c r="Y14" s="437" t="str">
        <f>IF(M14="","×","○")</f>
        <v>○</v>
      </c>
      <c r="Z14" s="765"/>
      <c r="AA14" s="123"/>
    </row>
    <row r="15" spans="1:29" ht="15" customHeight="1" thickBot="1">
      <c r="A15" s="1357"/>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57"/>
      <c r="B16" s="770" t="s">
        <v>1156</v>
      </c>
      <c r="C16" s="771"/>
      <c r="D16" s="772"/>
      <c r="E16" s="1696" t="s">
        <v>1157</v>
      </c>
      <c r="F16" s="1696"/>
      <c r="G16" s="1697"/>
      <c r="H16" s="1698"/>
      <c r="I16" s="1699"/>
      <c r="J16" s="1700" t="s">
        <v>1158</v>
      </c>
      <c r="K16" s="1701"/>
      <c r="L16" s="1698"/>
      <c r="M16" s="1699"/>
      <c r="N16" s="1700" t="s">
        <v>1159</v>
      </c>
      <c r="O16" s="1702"/>
      <c r="P16" s="1701"/>
      <c r="Q16" s="1698"/>
      <c r="R16" s="1699"/>
      <c r="S16" s="1700" t="s">
        <v>1160</v>
      </c>
      <c r="T16" s="1702"/>
      <c r="U16" s="1702"/>
      <c r="V16" s="1701"/>
      <c r="W16" s="47" t="s">
        <v>829</v>
      </c>
      <c r="Y16" s="439" t="str">
        <f>IF(AND(M14="臨床試験専用の窓口がある",AND(H16="",L16="",Q16="",W16="")),"×","○")</f>
        <v>○</v>
      </c>
      <c r="Z16" s="777"/>
      <c r="AA16" s="782"/>
      <c r="AC16" s="778"/>
    </row>
    <row r="17" spans="1:27" ht="21" customHeight="1" thickBot="1">
      <c r="A17" s="1357"/>
      <c r="B17" s="1454" t="s">
        <v>846</v>
      </c>
      <c r="C17" s="1454"/>
      <c r="D17" s="1455" t="s">
        <v>1871</v>
      </c>
      <c r="E17" s="1456"/>
      <c r="F17" s="1456"/>
      <c r="G17" s="1456"/>
      <c r="H17" s="1456"/>
      <c r="I17" s="1456"/>
      <c r="J17" s="1456"/>
      <c r="K17" s="1456"/>
      <c r="L17" s="1456"/>
      <c r="M17" s="1456"/>
      <c r="N17" s="1456"/>
      <c r="O17" s="1456"/>
      <c r="P17" s="1456"/>
      <c r="Q17" s="1456"/>
      <c r="R17" s="1456"/>
      <c r="S17" s="1456"/>
      <c r="T17" s="1456"/>
      <c r="U17" s="1456"/>
      <c r="V17" s="1456"/>
      <c r="W17" s="1457"/>
      <c r="Y17" s="439" t="str">
        <f>IF(AND(H16="○",D17=""),"×","○")</f>
        <v>○</v>
      </c>
      <c r="Z17" s="765"/>
      <c r="AA17" s="123"/>
    </row>
    <row r="18" spans="1:27" ht="53.25" customHeight="1" thickBot="1">
      <c r="A18" s="1357"/>
      <c r="B18" s="1703" t="s">
        <v>1161</v>
      </c>
      <c r="C18" s="773" t="s">
        <v>842</v>
      </c>
      <c r="D18" s="1268" t="s">
        <v>1872</v>
      </c>
      <c r="E18" s="1340"/>
      <c r="F18" s="1340"/>
      <c r="G18" s="1340"/>
      <c r="H18" s="1340"/>
      <c r="I18" s="1340"/>
      <c r="J18" s="1340"/>
      <c r="K18" s="1340"/>
      <c r="L18" s="1340"/>
      <c r="M18" s="1340"/>
      <c r="N18" s="1340"/>
      <c r="O18" s="1340"/>
      <c r="P18" s="1340"/>
      <c r="Q18" s="1340"/>
      <c r="R18" s="1340"/>
      <c r="S18" s="1340"/>
      <c r="T18" s="1340"/>
      <c r="U18" s="1340"/>
      <c r="V18" s="1340"/>
      <c r="W18" s="1269"/>
      <c r="Y18" s="439"/>
      <c r="Z18" s="765"/>
      <c r="AA18" s="123"/>
    </row>
    <row r="19" spans="1:27" ht="21" customHeight="1" thickBot="1">
      <c r="A19" s="1357"/>
      <c r="B19" s="1704"/>
      <c r="C19" s="774" t="s">
        <v>866</v>
      </c>
      <c r="D19" s="1268" t="s">
        <v>1873</v>
      </c>
      <c r="E19" s="1340"/>
      <c r="F19" s="1340"/>
      <c r="G19" s="1340"/>
      <c r="H19" s="1340"/>
      <c r="I19" s="1340"/>
      <c r="J19" s="1340"/>
      <c r="K19" s="1340"/>
      <c r="L19" s="1340"/>
      <c r="M19" s="1340"/>
      <c r="N19" s="1340"/>
      <c r="O19" s="1340"/>
      <c r="P19" s="1340"/>
      <c r="Q19" s="1340"/>
      <c r="R19" s="1340"/>
      <c r="S19" s="1340"/>
      <c r="T19" s="1340"/>
      <c r="U19" s="1340"/>
      <c r="V19" s="1340"/>
      <c r="W19" s="1269"/>
      <c r="Z19" s="765"/>
      <c r="AA19" s="123"/>
    </row>
    <row r="20" spans="1:27" ht="30" customHeight="1" thickBot="1">
      <c r="A20" s="1358"/>
      <c r="B20" s="1705" t="s">
        <v>847</v>
      </c>
      <c r="C20" s="1706"/>
      <c r="D20" s="1573" t="s">
        <v>1764</v>
      </c>
      <c r="E20" s="1574"/>
      <c r="F20" s="1574"/>
      <c r="G20" s="1574"/>
      <c r="H20" s="1574"/>
      <c r="I20" s="1574"/>
      <c r="J20" s="1575"/>
      <c r="K20" s="1690" t="s">
        <v>848</v>
      </c>
      <c r="L20" s="1690"/>
      <c r="M20" s="1690"/>
      <c r="N20" s="1373"/>
      <c r="O20" s="1374"/>
      <c r="P20" s="1374"/>
      <c r="Q20" s="1374"/>
      <c r="R20" s="1374"/>
      <c r="S20" s="1374"/>
      <c r="T20" s="1374"/>
      <c r="U20" s="1374"/>
      <c r="V20" s="1374"/>
      <c r="W20" s="1375"/>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49">
        <v>1</v>
      </c>
      <c r="B22" s="1393" t="s">
        <v>1165</v>
      </c>
      <c r="C22" s="1394"/>
      <c r="D22" s="1394"/>
      <c r="E22" s="1394"/>
      <c r="F22" s="1394"/>
      <c r="G22" s="1394"/>
      <c r="H22" s="1394"/>
      <c r="I22" s="1394"/>
      <c r="J22" s="1394"/>
      <c r="K22" s="1394"/>
      <c r="L22" s="1709"/>
      <c r="M22" s="1398" t="s">
        <v>1875</v>
      </c>
      <c r="N22" s="1694"/>
      <c r="O22" s="1694"/>
      <c r="P22" s="1694"/>
      <c r="Q22" s="1694"/>
      <c r="R22" s="1694"/>
      <c r="S22" s="1694"/>
      <c r="T22" s="1694"/>
      <c r="U22" s="1694"/>
      <c r="V22" s="1694"/>
      <c r="W22" s="1695"/>
      <c r="Y22" s="437" t="str">
        <f>IF(M22="","×","○")</f>
        <v>○</v>
      </c>
      <c r="Z22" s="765"/>
      <c r="AA22" s="123"/>
    </row>
    <row r="23" spans="1:27" ht="24" customHeight="1" thickBot="1">
      <c r="A23" s="1707"/>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07"/>
      <c r="B24" s="770" t="s">
        <v>1156</v>
      </c>
      <c r="C24" s="771"/>
      <c r="D24" s="772"/>
      <c r="E24" s="1696" t="s">
        <v>1157</v>
      </c>
      <c r="F24" s="1696"/>
      <c r="G24" s="1697"/>
      <c r="H24" s="1698"/>
      <c r="I24" s="1699"/>
      <c r="J24" s="1700" t="s">
        <v>1158</v>
      </c>
      <c r="K24" s="1701"/>
      <c r="L24" s="1698"/>
      <c r="M24" s="1699"/>
      <c r="N24" s="1700" t="s">
        <v>1159</v>
      </c>
      <c r="O24" s="1702"/>
      <c r="P24" s="1701"/>
      <c r="Q24" s="1698"/>
      <c r="R24" s="1699"/>
      <c r="S24" s="1700" t="s">
        <v>1160</v>
      </c>
      <c r="T24" s="1702"/>
      <c r="U24" s="1702"/>
      <c r="V24" s="1701"/>
      <c r="W24" s="47" t="s">
        <v>829</v>
      </c>
      <c r="Y24" s="439" t="str">
        <f>IF(AND(M22="治験専用の窓口がある",AND(H24="",L24="",Q24="",W24="")),"×","○")</f>
        <v>○</v>
      </c>
      <c r="Z24" s="765"/>
      <c r="AA24" s="123"/>
    </row>
    <row r="25" spans="1:27" ht="24" customHeight="1" thickBot="1">
      <c r="A25" s="1707"/>
      <c r="B25" s="1454" t="s">
        <v>846</v>
      </c>
      <c r="C25" s="1454"/>
      <c r="D25" s="1455" t="s">
        <v>1871</v>
      </c>
      <c r="E25" s="1456"/>
      <c r="F25" s="1456"/>
      <c r="G25" s="1456"/>
      <c r="H25" s="1456"/>
      <c r="I25" s="1456"/>
      <c r="J25" s="1456"/>
      <c r="K25" s="1456"/>
      <c r="L25" s="1456"/>
      <c r="M25" s="1456"/>
      <c r="N25" s="1456"/>
      <c r="O25" s="1456"/>
      <c r="P25" s="1456"/>
      <c r="Q25" s="1456"/>
      <c r="R25" s="1456"/>
      <c r="S25" s="1456"/>
      <c r="T25" s="1456"/>
      <c r="U25" s="1456"/>
      <c r="V25" s="1456"/>
      <c r="W25" s="1457"/>
      <c r="Y25" s="439" t="str">
        <f>IF(AND(H24="○",D25=""),"×","○")</f>
        <v>○</v>
      </c>
      <c r="Z25" s="765"/>
      <c r="AA25" s="123"/>
    </row>
    <row r="26" spans="1:27" ht="54" customHeight="1" thickBot="1">
      <c r="A26" s="1707"/>
      <c r="B26" s="1703" t="s">
        <v>1161</v>
      </c>
      <c r="C26" s="773" t="s">
        <v>842</v>
      </c>
      <c r="D26" s="1268" t="s">
        <v>1876</v>
      </c>
      <c r="E26" s="1340"/>
      <c r="F26" s="1340"/>
      <c r="G26" s="1340"/>
      <c r="H26" s="1340"/>
      <c r="I26" s="1340"/>
      <c r="J26" s="1340"/>
      <c r="K26" s="1340"/>
      <c r="L26" s="1340"/>
      <c r="M26" s="1340"/>
      <c r="N26" s="1340"/>
      <c r="O26" s="1340"/>
      <c r="P26" s="1340"/>
      <c r="Q26" s="1340"/>
      <c r="R26" s="1340"/>
      <c r="S26" s="1340"/>
      <c r="T26" s="1340"/>
      <c r="U26" s="1340"/>
      <c r="V26" s="1340"/>
      <c r="W26" s="1269"/>
      <c r="Z26" s="765"/>
      <c r="AA26" s="123"/>
    </row>
    <row r="27" spans="1:27" ht="24" customHeight="1" thickBot="1">
      <c r="A27" s="1707"/>
      <c r="B27" s="1704"/>
      <c r="C27" s="774" t="s">
        <v>866</v>
      </c>
      <c r="D27" s="1268" t="s">
        <v>1873</v>
      </c>
      <c r="E27" s="1340"/>
      <c r="F27" s="1340"/>
      <c r="G27" s="1340"/>
      <c r="H27" s="1340"/>
      <c r="I27" s="1340"/>
      <c r="J27" s="1340"/>
      <c r="K27" s="1340"/>
      <c r="L27" s="1340"/>
      <c r="M27" s="1340"/>
      <c r="N27" s="1340"/>
      <c r="O27" s="1340"/>
      <c r="P27" s="1340"/>
      <c r="Q27" s="1340"/>
      <c r="R27" s="1340"/>
      <c r="S27" s="1340"/>
      <c r="T27" s="1340"/>
      <c r="U27" s="1340"/>
      <c r="V27" s="1340"/>
      <c r="W27" s="1269"/>
      <c r="Z27" s="765"/>
      <c r="AA27" s="123"/>
    </row>
    <row r="28" spans="1:27" ht="24" customHeight="1" thickBot="1">
      <c r="A28" s="1708"/>
      <c r="B28" s="1705" t="s">
        <v>847</v>
      </c>
      <c r="C28" s="1706"/>
      <c r="D28" s="1573" t="s">
        <v>1764</v>
      </c>
      <c r="E28" s="1574"/>
      <c r="F28" s="1574"/>
      <c r="G28" s="1574"/>
      <c r="H28" s="1574"/>
      <c r="I28" s="1574"/>
      <c r="J28" s="1575"/>
      <c r="K28" s="1690" t="s">
        <v>848</v>
      </c>
      <c r="L28" s="1690"/>
      <c r="M28" s="1690"/>
      <c r="N28" s="1373"/>
      <c r="O28" s="1374"/>
      <c r="P28" s="1374"/>
      <c r="Q28" s="1374"/>
      <c r="R28" s="1374"/>
      <c r="S28" s="1374"/>
      <c r="T28" s="1374"/>
      <c r="U28" s="1374"/>
      <c r="V28" s="1374"/>
      <c r="W28" s="1375"/>
      <c r="Y28" s="439" t="str">
        <f>IF(AND(L24="○",D28=""),"×","○")</f>
        <v>○</v>
      </c>
      <c r="Z28" s="765"/>
      <c r="AA28" s="123"/>
    </row>
    <row r="29" spans="1:27" ht="21" customHeight="1" thickBot="1">
      <c r="A29" s="1449">
        <v>2</v>
      </c>
      <c r="B29" s="1691" t="s">
        <v>1167</v>
      </c>
      <c r="C29" s="1692"/>
      <c r="D29" s="1692"/>
      <c r="E29" s="1692"/>
      <c r="F29" s="1692"/>
      <c r="G29" s="1692"/>
      <c r="H29" s="1692"/>
      <c r="I29" s="1692"/>
      <c r="J29" s="1692"/>
      <c r="K29" s="1692"/>
      <c r="L29" s="1693"/>
      <c r="M29" s="1398" t="s">
        <v>1875</v>
      </c>
      <c r="N29" s="1694"/>
      <c r="O29" s="1694"/>
      <c r="P29" s="1694"/>
      <c r="Q29" s="1694"/>
      <c r="R29" s="1694"/>
      <c r="S29" s="1694"/>
      <c r="T29" s="1694"/>
      <c r="U29" s="1694"/>
      <c r="V29" s="1694"/>
      <c r="W29" s="1695"/>
      <c r="Y29" s="437" t="str">
        <f>IF(M29="","×","○")</f>
        <v>○</v>
      </c>
      <c r="Z29" s="765"/>
      <c r="AA29" s="123"/>
    </row>
    <row r="30" spans="1:27" ht="24" customHeight="1" thickBot="1">
      <c r="A30" s="1357"/>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57"/>
      <c r="B31" s="770" t="s">
        <v>1156</v>
      </c>
      <c r="C31" s="771"/>
      <c r="D31" s="772"/>
      <c r="E31" s="1696" t="s">
        <v>1157</v>
      </c>
      <c r="F31" s="1696"/>
      <c r="G31" s="1697"/>
      <c r="H31" s="1698"/>
      <c r="I31" s="1699"/>
      <c r="J31" s="1700" t="s">
        <v>1158</v>
      </c>
      <c r="K31" s="1701"/>
      <c r="L31" s="1698"/>
      <c r="M31" s="1699"/>
      <c r="N31" s="1700" t="s">
        <v>1159</v>
      </c>
      <c r="O31" s="1702"/>
      <c r="P31" s="1701"/>
      <c r="Q31" s="1698"/>
      <c r="R31" s="1699"/>
      <c r="S31" s="1700" t="s">
        <v>1160</v>
      </c>
      <c r="T31" s="1702"/>
      <c r="U31" s="1702"/>
      <c r="V31" s="1701"/>
      <c r="W31" s="47" t="s">
        <v>829</v>
      </c>
      <c r="Y31" s="439" t="str">
        <f>IF(AND(M29="治験専用の窓口がある",AND(H31="",L31="",Q31="",W31="")),"×","○")</f>
        <v>○</v>
      </c>
      <c r="Z31" s="765"/>
      <c r="AA31" s="123"/>
    </row>
    <row r="32" spans="1:27" ht="24" customHeight="1" thickBot="1">
      <c r="A32" s="1357"/>
      <c r="B32" s="1454" t="s">
        <v>846</v>
      </c>
      <c r="C32" s="1454"/>
      <c r="D32" s="1455" t="s">
        <v>1871</v>
      </c>
      <c r="E32" s="1456"/>
      <c r="F32" s="1456"/>
      <c r="G32" s="1456"/>
      <c r="H32" s="1456"/>
      <c r="I32" s="1456"/>
      <c r="J32" s="1456"/>
      <c r="K32" s="1456"/>
      <c r="L32" s="1456"/>
      <c r="M32" s="1456"/>
      <c r="N32" s="1456"/>
      <c r="O32" s="1456"/>
      <c r="P32" s="1456"/>
      <c r="Q32" s="1456"/>
      <c r="R32" s="1456"/>
      <c r="S32" s="1456"/>
      <c r="T32" s="1456"/>
      <c r="U32" s="1456"/>
      <c r="V32" s="1456"/>
      <c r="W32" s="1457"/>
      <c r="Y32" s="439" t="str">
        <f>IF(AND(H31="○",D32=""),"×","○")</f>
        <v>○</v>
      </c>
      <c r="Z32" s="765"/>
      <c r="AA32" s="123"/>
    </row>
    <row r="33" spans="1:27" ht="53.25" customHeight="1" thickBot="1">
      <c r="A33" s="1357"/>
      <c r="B33" s="1703" t="s">
        <v>1161</v>
      </c>
      <c r="C33" s="773" t="s">
        <v>842</v>
      </c>
      <c r="D33" s="1268" t="s">
        <v>1876</v>
      </c>
      <c r="E33" s="1340"/>
      <c r="F33" s="1340"/>
      <c r="G33" s="1340"/>
      <c r="H33" s="1340"/>
      <c r="I33" s="1340"/>
      <c r="J33" s="1340"/>
      <c r="K33" s="1340"/>
      <c r="L33" s="1340"/>
      <c r="M33" s="1340"/>
      <c r="N33" s="1340"/>
      <c r="O33" s="1340"/>
      <c r="P33" s="1340"/>
      <c r="Q33" s="1340"/>
      <c r="R33" s="1340"/>
      <c r="S33" s="1340"/>
      <c r="T33" s="1340"/>
      <c r="U33" s="1340"/>
      <c r="V33" s="1340"/>
      <c r="W33" s="1269"/>
      <c r="Z33" s="765"/>
      <c r="AA33" s="123"/>
    </row>
    <row r="34" spans="1:27" ht="24" customHeight="1" thickBot="1">
      <c r="A34" s="1357"/>
      <c r="B34" s="1704"/>
      <c r="C34" s="774" t="s">
        <v>866</v>
      </c>
      <c r="D34" s="1268" t="s">
        <v>1873</v>
      </c>
      <c r="E34" s="1340"/>
      <c r="F34" s="1340"/>
      <c r="G34" s="1340"/>
      <c r="H34" s="1340"/>
      <c r="I34" s="1340"/>
      <c r="J34" s="1340"/>
      <c r="K34" s="1340"/>
      <c r="L34" s="1340"/>
      <c r="M34" s="1340"/>
      <c r="N34" s="1340"/>
      <c r="O34" s="1340"/>
      <c r="P34" s="1340"/>
      <c r="Q34" s="1340"/>
      <c r="R34" s="1340"/>
      <c r="S34" s="1340"/>
      <c r="T34" s="1340"/>
      <c r="U34" s="1340"/>
      <c r="V34" s="1340"/>
      <c r="W34" s="1269"/>
      <c r="Z34" s="765"/>
      <c r="AA34" s="123"/>
    </row>
    <row r="35" spans="1:27" ht="24" customHeight="1" thickBot="1">
      <c r="A35" s="1357"/>
      <c r="B35" s="1705" t="s">
        <v>847</v>
      </c>
      <c r="C35" s="1706"/>
      <c r="D35" s="1573" t="s">
        <v>1764</v>
      </c>
      <c r="E35" s="1574"/>
      <c r="F35" s="1574"/>
      <c r="G35" s="1574"/>
      <c r="H35" s="1574"/>
      <c r="I35" s="1574"/>
      <c r="J35" s="1575"/>
      <c r="K35" s="1690" t="s">
        <v>848</v>
      </c>
      <c r="L35" s="1690"/>
      <c r="M35" s="1690"/>
      <c r="N35" s="1373"/>
      <c r="O35" s="1374"/>
      <c r="P35" s="1374"/>
      <c r="Q35" s="1374"/>
      <c r="R35" s="1374"/>
      <c r="S35" s="1374"/>
      <c r="T35" s="1374"/>
      <c r="U35" s="1374"/>
      <c r="V35" s="1374"/>
      <c r="W35" s="1375"/>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5" t="s">
        <v>1168</v>
      </c>
      <c r="B1" s="1275"/>
      <c r="C1" s="1275"/>
      <c r="D1" s="1275"/>
      <c r="E1" s="1275"/>
      <c r="F1" s="1275"/>
      <c r="G1" s="1275"/>
      <c r="H1" s="1275"/>
      <c r="I1" s="1275"/>
      <c r="J1" s="1275"/>
      <c r="K1" s="1275"/>
      <c r="L1" s="1275"/>
      <c r="M1" s="1275"/>
      <c r="N1" s="1275"/>
      <c r="O1" s="1275"/>
      <c r="P1" s="784"/>
      <c r="Q1" s="573"/>
      <c r="R1" s="83"/>
      <c r="S1" s="574"/>
    </row>
    <row r="2" spans="1:19" ht="24.95" customHeight="1" thickBot="1">
      <c r="A2" s="1334" t="s">
        <v>832</v>
      </c>
      <c r="B2" s="1334"/>
      <c r="C2" s="1334"/>
      <c r="D2" s="1334"/>
      <c r="E2" s="1334"/>
      <c r="F2" s="1334"/>
      <c r="G2" s="1334"/>
      <c r="H2" s="1334"/>
      <c r="I2" s="1334"/>
      <c r="J2" s="1334"/>
      <c r="K2" s="1334"/>
      <c r="L2" s="1334"/>
      <c r="M2" s="1334"/>
      <c r="N2" s="1334"/>
      <c r="O2" s="785" t="str">
        <f>IF(COUNTIF(Q7:Q14,"×")&gt;=1,"未入力あり","入力済")</f>
        <v>入力済</v>
      </c>
      <c r="P2" s="1270"/>
      <c r="Q2" s="1270"/>
      <c r="R2" s="83"/>
    </row>
    <row r="3" spans="1:19" ht="5.0999999999999996" customHeight="1">
      <c r="A3" s="437"/>
      <c r="B3" s="437"/>
      <c r="C3" s="437"/>
      <c r="D3" s="437"/>
      <c r="E3" s="437"/>
      <c r="F3" s="437"/>
      <c r="G3" s="437"/>
      <c r="H3" s="437"/>
      <c r="I3" s="437"/>
      <c r="J3" s="437"/>
      <c r="K3" s="437"/>
      <c r="L3" s="437"/>
      <c r="M3" s="437"/>
      <c r="N3" s="437"/>
      <c r="O3" s="463"/>
      <c r="P3" s="1270"/>
      <c r="Q3" s="1270"/>
    </row>
    <row r="4" spans="1:19" ht="20.25" customHeight="1">
      <c r="A4" s="437"/>
      <c r="B4" s="437"/>
      <c r="C4" s="437"/>
      <c r="D4" s="437"/>
      <c r="E4" s="437"/>
      <c r="F4" s="763" t="s">
        <v>725</v>
      </c>
      <c r="G4" s="1736" t="str">
        <f>表紙!E2</f>
        <v>社会医療法人生長会　ベルランド総合病院</v>
      </c>
      <c r="H4" s="1737"/>
      <c r="I4" s="1737"/>
      <c r="J4" s="1737"/>
      <c r="K4" s="1737"/>
      <c r="L4" s="1737"/>
      <c r="M4" s="1737"/>
      <c r="N4" s="1737"/>
      <c r="O4" s="1738"/>
      <c r="P4" s="1270"/>
      <c r="Q4" s="1270"/>
      <c r="R4" s="83"/>
    </row>
    <row r="5" spans="1:19" ht="15.75" customHeight="1">
      <c r="A5" s="437"/>
      <c r="B5" s="437"/>
      <c r="C5" s="437"/>
      <c r="D5" s="437"/>
      <c r="E5" s="437"/>
      <c r="F5" s="763"/>
      <c r="L5" s="51"/>
      <c r="M5" s="51"/>
      <c r="N5" s="611"/>
      <c r="O5" s="783" t="str">
        <f>別紙1未充足要件!E5</f>
        <v>令和７年９月１日時点</v>
      </c>
      <c r="P5" s="1270"/>
      <c r="Q5" s="1270"/>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9" t="s">
        <v>1169</v>
      </c>
      <c r="C7" s="1730"/>
      <c r="D7" s="1730"/>
      <c r="E7" s="1730"/>
      <c r="F7" s="1730"/>
      <c r="G7" s="1730"/>
      <c r="H7" s="1731"/>
      <c r="I7" s="1526" t="s">
        <v>1778</v>
      </c>
      <c r="J7" s="1527"/>
      <c r="K7" s="1527"/>
      <c r="L7" s="1527"/>
      <c r="M7" s="1528"/>
      <c r="N7" s="51"/>
      <c r="O7" s="51"/>
      <c r="P7" s="51"/>
      <c r="Q7" s="437" t="str">
        <f>IF(I7="","×","○")</f>
        <v>○</v>
      </c>
      <c r="S7" s="125"/>
    </row>
    <row r="8" spans="1:19" ht="39" customHeight="1" thickBot="1">
      <c r="A8" s="443">
        <v>2</v>
      </c>
      <c r="B8" s="1729" t="s">
        <v>1170</v>
      </c>
      <c r="C8" s="1732"/>
      <c r="D8" s="1732"/>
      <c r="E8" s="1732"/>
      <c r="F8" s="1732"/>
      <c r="G8" s="1732"/>
      <c r="H8" s="1733"/>
      <c r="I8" s="1526" t="s">
        <v>1777</v>
      </c>
      <c r="J8" s="1527"/>
      <c r="K8" s="1527"/>
      <c r="L8" s="1527"/>
      <c r="M8" s="1528"/>
      <c r="N8" s="51"/>
      <c r="O8" s="51"/>
      <c r="P8" s="51"/>
      <c r="Q8" s="437" t="str">
        <f t="shared" ref="Q8:Q14" si="0">IF(I8="","×","○")</f>
        <v>○</v>
      </c>
      <c r="S8" s="125"/>
    </row>
    <row r="9" spans="1:19" ht="39" customHeight="1" thickBot="1">
      <c r="A9" s="443">
        <v>3</v>
      </c>
      <c r="B9" s="1729" t="s">
        <v>1171</v>
      </c>
      <c r="C9" s="1734"/>
      <c r="D9" s="1734"/>
      <c r="E9" s="1734"/>
      <c r="F9" s="1734"/>
      <c r="G9" s="1734"/>
      <c r="H9" s="1735"/>
      <c r="I9" s="1526" t="s">
        <v>1778</v>
      </c>
      <c r="J9" s="1527"/>
      <c r="K9" s="1527"/>
      <c r="L9" s="1527"/>
      <c r="M9" s="1528"/>
      <c r="N9" s="51"/>
      <c r="O9" s="51"/>
      <c r="P9" s="51"/>
      <c r="Q9" s="437" t="str">
        <f t="shared" si="0"/>
        <v>○</v>
      </c>
      <c r="S9" s="125"/>
    </row>
    <row r="10" spans="1:19" ht="39" customHeight="1" thickBot="1">
      <c r="A10" s="443">
        <v>4</v>
      </c>
      <c r="B10" s="1729" t="s">
        <v>1172</v>
      </c>
      <c r="C10" s="1730"/>
      <c r="D10" s="1730"/>
      <c r="E10" s="1730"/>
      <c r="F10" s="1730"/>
      <c r="G10" s="1730"/>
      <c r="H10" s="1731"/>
      <c r="I10" s="1526" t="s">
        <v>1778</v>
      </c>
      <c r="J10" s="1527"/>
      <c r="K10" s="1527"/>
      <c r="L10" s="1527"/>
      <c r="M10" s="1528"/>
      <c r="N10" s="51"/>
      <c r="O10" s="51"/>
      <c r="P10" s="51"/>
      <c r="Q10" s="437" t="str">
        <f t="shared" si="0"/>
        <v>○</v>
      </c>
      <c r="S10" s="125"/>
    </row>
    <row r="11" spans="1:19" ht="39" customHeight="1" thickBot="1">
      <c r="A11" s="443">
        <v>5</v>
      </c>
      <c r="B11" s="1729" t="s">
        <v>1173</v>
      </c>
      <c r="C11" s="1730"/>
      <c r="D11" s="1730"/>
      <c r="E11" s="1730"/>
      <c r="F11" s="1730"/>
      <c r="G11" s="1730"/>
      <c r="H11" s="1731"/>
      <c r="I11" s="1526" t="s">
        <v>1777</v>
      </c>
      <c r="J11" s="1527"/>
      <c r="K11" s="1527"/>
      <c r="L11" s="1527"/>
      <c r="M11" s="1528"/>
      <c r="N11" s="51"/>
      <c r="O11" s="51"/>
      <c r="P11" s="51"/>
      <c r="Q11" s="437" t="str">
        <f t="shared" si="0"/>
        <v>○</v>
      </c>
      <c r="S11" s="125"/>
    </row>
    <row r="12" spans="1:19" ht="39" customHeight="1" thickBot="1">
      <c r="A12" s="510">
        <v>6</v>
      </c>
      <c r="B12" s="1726" t="s">
        <v>1174</v>
      </c>
      <c r="C12" s="1727"/>
      <c r="D12" s="1727"/>
      <c r="E12" s="1727"/>
      <c r="F12" s="1727"/>
      <c r="G12" s="1727"/>
      <c r="H12" s="1728"/>
      <c r="I12" s="1526" t="s">
        <v>1778</v>
      </c>
      <c r="J12" s="1527"/>
      <c r="K12" s="1527"/>
      <c r="L12" s="1527"/>
      <c r="M12" s="1528"/>
      <c r="N12" s="51"/>
      <c r="O12" s="51"/>
      <c r="P12" s="51"/>
      <c r="Q12" s="437" t="str">
        <f t="shared" si="0"/>
        <v>○</v>
      </c>
      <c r="S12" s="125"/>
    </row>
    <row r="13" spans="1:19" ht="39" customHeight="1" thickBot="1">
      <c r="A13" s="443">
        <v>7</v>
      </c>
      <c r="B13" s="1729" t="s">
        <v>1175</v>
      </c>
      <c r="C13" s="1730"/>
      <c r="D13" s="1730"/>
      <c r="E13" s="1730"/>
      <c r="F13" s="1730"/>
      <c r="G13" s="1730"/>
      <c r="H13" s="1731"/>
      <c r="I13" s="1526" t="s">
        <v>1777</v>
      </c>
      <c r="J13" s="1527"/>
      <c r="K13" s="1527"/>
      <c r="L13" s="1527"/>
      <c r="M13" s="1528"/>
      <c r="N13" s="51"/>
      <c r="O13" s="51"/>
      <c r="P13" s="51"/>
      <c r="Q13" s="437" t="str">
        <f t="shared" si="0"/>
        <v>○</v>
      </c>
      <c r="S13" s="125"/>
    </row>
    <row r="14" spans="1:19" ht="39" customHeight="1" thickBot="1">
      <c r="A14" s="510">
        <v>8</v>
      </c>
      <c r="B14" s="1726" t="s">
        <v>1176</v>
      </c>
      <c r="C14" s="1727"/>
      <c r="D14" s="1727"/>
      <c r="E14" s="1727"/>
      <c r="F14" s="1727"/>
      <c r="G14" s="1727"/>
      <c r="H14" s="1728"/>
      <c r="I14" s="1526" t="s">
        <v>1777</v>
      </c>
      <c r="J14" s="1527"/>
      <c r="K14" s="1527"/>
      <c r="L14" s="1527"/>
      <c r="M14" s="1528"/>
      <c r="N14" s="51"/>
      <c r="O14" s="51"/>
      <c r="P14" s="51"/>
      <c r="Q14" s="437" t="str">
        <f t="shared" si="0"/>
        <v>○</v>
      </c>
      <c r="S14" s="137"/>
    </row>
    <row r="15" spans="1:19">
      <c r="A15" s="152"/>
    </row>
    <row r="16" spans="1:19">
      <c r="A16" s="152"/>
    </row>
    <row r="17" spans="1:1">
      <c r="A17" s="152"/>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D22" zoomScaleNormal="100" zoomScaleSheetLayoutView="100" workbookViewId="0">
      <selection activeCell="B35" sqref="B35:E3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40" t="s">
        <v>1177</v>
      </c>
      <c r="B1" s="1740"/>
      <c r="C1" s="1740"/>
      <c r="D1" s="1740"/>
      <c r="E1" s="1740"/>
      <c r="F1" s="1740"/>
      <c r="G1" s="1740"/>
      <c r="H1" s="1740"/>
      <c r="I1" s="1740"/>
      <c r="L1" s="83"/>
    </row>
    <row r="2" spans="1:13" ht="24.95" customHeight="1" thickTop="1" thickBot="1">
      <c r="A2" s="1277" t="s">
        <v>832</v>
      </c>
      <c r="B2" s="1277"/>
      <c r="C2" s="1277"/>
      <c r="D2" s="1277"/>
      <c r="E2" s="1277"/>
      <c r="F2" s="1277"/>
      <c r="G2" s="1277"/>
      <c r="H2" s="1277"/>
      <c r="I2" s="388" t="str">
        <f>IF(COUNTIF(K6:K33,"×")&gt;=1,"未入力あり","入力済")</f>
        <v>入力済</v>
      </c>
      <c r="J2" s="1746"/>
      <c r="K2" s="389"/>
      <c r="L2" s="83"/>
    </row>
    <row r="3" spans="1:13" ht="15" thickTop="1">
      <c r="A3" s="786"/>
      <c r="B3" s="786"/>
      <c r="C3" s="786"/>
      <c r="D3" s="786"/>
      <c r="E3" s="786"/>
      <c r="F3" s="786"/>
      <c r="G3" s="786"/>
      <c r="H3" s="786"/>
      <c r="I3" s="787"/>
      <c r="J3" s="1746"/>
      <c r="K3" s="389"/>
      <c r="L3" s="83"/>
    </row>
    <row r="4" spans="1:13" s="790" customFormat="1" ht="20.100000000000001" customHeight="1">
      <c r="A4" s="788"/>
      <c r="B4" s="788"/>
      <c r="C4" s="788"/>
      <c r="D4" s="788"/>
      <c r="E4" s="788"/>
      <c r="F4" s="789" t="s">
        <v>1178</v>
      </c>
      <c r="G4" s="1741" t="str">
        <f>表紙!E2</f>
        <v>社会医療法人生長会　ベルランド総合病院</v>
      </c>
      <c r="H4" s="1742"/>
      <c r="I4" s="1743"/>
      <c r="J4" s="1746"/>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1778</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44" t="s">
        <v>1181</v>
      </c>
      <c r="D8" s="1744"/>
      <c r="E8" s="1744"/>
      <c r="F8" s="1744"/>
      <c r="G8" s="1744"/>
      <c r="H8" s="1744"/>
      <c r="I8" s="1744"/>
      <c r="M8" s="74"/>
    </row>
    <row r="9" spans="1:13" ht="50.25" customHeight="1">
      <c r="A9" s="794"/>
      <c r="B9" s="794"/>
      <c r="C9" s="1745" t="s">
        <v>1182</v>
      </c>
      <c r="D9" s="1745"/>
      <c r="E9" s="1745"/>
      <c r="F9" s="1745"/>
      <c r="G9" s="1745"/>
      <c r="H9" s="1745"/>
      <c r="I9" s="1745"/>
      <c r="M9" s="74"/>
    </row>
    <row r="10" spans="1:13" ht="25.5" customHeight="1">
      <c r="A10" s="794"/>
      <c r="B10" s="794"/>
      <c r="C10" s="1745" t="s">
        <v>1183</v>
      </c>
      <c r="D10" s="1745"/>
      <c r="E10" s="1745"/>
      <c r="F10" s="1745"/>
      <c r="G10" s="1745"/>
      <c r="H10" s="1745"/>
      <c r="I10" s="1745"/>
      <c r="M10" s="74"/>
    </row>
    <row r="11" spans="1:13" ht="30" customHeight="1">
      <c r="A11" s="794"/>
      <c r="B11" s="794"/>
      <c r="C11" s="1739" t="s">
        <v>1184</v>
      </c>
      <c r="D11" s="1739"/>
      <c r="E11" s="1739"/>
      <c r="F11" s="1739"/>
      <c r="G11" s="1739"/>
      <c r="H11" s="1739"/>
      <c r="I11" s="1739"/>
      <c r="M11" s="74"/>
    </row>
    <row r="12" spans="1:13" ht="18" customHeight="1">
      <c r="A12" s="1749"/>
      <c r="B12" s="1750"/>
      <c r="C12" s="1763" t="s">
        <v>1185</v>
      </c>
      <c r="D12" s="1765" t="s">
        <v>1139</v>
      </c>
      <c r="E12" s="1767" t="s">
        <v>1012</v>
      </c>
      <c r="F12" s="1769" t="s">
        <v>1186</v>
      </c>
      <c r="G12" s="1770"/>
      <c r="H12" s="1770"/>
      <c r="I12" s="1771"/>
      <c r="M12" s="74"/>
    </row>
    <row r="13" spans="1:13" ht="18" customHeight="1" thickBot="1">
      <c r="A13" s="1751"/>
      <c r="B13" s="1752"/>
      <c r="C13" s="1764"/>
      <c r="D13" s="1766"/>
      <c r="E13" s="1768"/>
      <c r="F13" s="1761" t="s">
        <v>1187</v>
      </c>
      <c r="G13" s="1762"/>
      <c r="H13" s="795" t="s">
        <v>1188</v>
      </c>
      <c r="I13" s="796" t="s">
        <v>1189</v>
      </c>
      <c r="M13" s="74"/>
    </row>
    <row r="14" spans="1:13" ht="27" customHeight="1" thickBot="1">
      <c r="A14" s="401">
        <v>1</v>
      </c>
      <c r="B14" s="797" t="s">
        <v>1190</v>
      </c>
      <c r="C14" s="103" t="s">
        <v>239</v>
      </c>
      <c r="D14" s="43" t="s">
        <v>1836</v>
      </c>
      <c r="E14" s="45" t="s">
        <v>1877</v>
      </c>
      <c r="F14" s="1757" t="s">
        <v>1880</v>
      </c>
      <c r="G14" s="1758"/>
      <c r="H14" s="107" t="s">
        <v>1885</v>
      </c>
      <c r="I14" s="1202">
        <v>45138</v>
      </c>
      <c r="J14" s="291"/>
      <c r="K14" s="49" t="str">
        <f>IF(AND(H6="はい",OR(C14="",D14="",E14="",F14="",H14="",I14="")),"×","○")</f>
        <v>○</v>
      </c>
      <c r="M14" s="74"/>
    </row>
    <row r="15" spans="1:13" ht="27" customHeight="1" thickBot="1">
      <c r="A15" s="401">
        <v>2</v>
      </c>
      <c r="B15" s="1754"/>
      <c r="C15" s="103" t="s">
        <v>239</v>
      </c>
      <c r="D15" s="43" t="s">
        <v>1836</v>
      </c>
      <c r="E15" s="45" t="s">
        <v>1877</v>
      </c>
      <c r="F15" s="1757" t="s">
        <v>1881</v>
      </c>
      <c r="G15" s="1758"/>
      <c r="H15" s="107" t="s">
        <v>1886</v>
      </c>
      <c r="I15" s="1203">
        <v>44561</v>
      </c>
      <c r="M15" s="74"/>
    </row>
    <row r="16" spans="1:13" ht="27" customHeight="1" thickBot="1">
      <c r="A16" s="401">
        <v>3</v>
      </c>
      <c r="B16" s="1755"/>
      <c r="C16" s="103" t="s">
        <v>1023</v>
      </c>
      <c r="D16" s="43" t="s">
        <v>1836</v>
      </c>
      <c r="E16" s="45" t="s">
        <v>1878</v>
      </c>
      <c r="F16" s="1757" t="s">
        <v>1882</v>
      </c>
      <c r="G16" s="1758"/>
      <c r="H16" s="107" t="s">
        <v>1887</v>
      </c>
      <c r="I16" s="1203">
        <v>45274</v>
      </c>
      <c r="M16" s="74"/>
    </row>
    <row r="17" spans="1:13" ht="27" customHeight="1" thickBot="1">
      <c r="A17" s="401">
        <v>4</v>
      </c>
      <c r="B17" s="1755"/>
      <c r="C17" s="103" t="s">
        <v>1879</v>
      </c>
      <c r="D17" s="43" t="s">
        <v>1836</v>
      </c>
      <c r="E17" s="45" t="s">
        <v>1877</v>
      </c>
      <c r="F17" s="1757" t="s">
        <v>1882</v>
      </c>
      <c r="G17" s="1758"/>
      <c r="H17" s="107" t="s">
        <v>1888</v>
      </c>
      <c r="I17" s="1203">
        <v>39254</v>
      </c>
      <c r="M17" s="74"/>
    </row>
    <row r="18" spans="1:13" ht="27" customHeight="1" thickBot="1">
      <c r="A18" s="401">
        <v>5</v>
      </c>
      <c r="B18" s="1755"/>
      <c r="C18" s="103" t="s">
        <v>1021</v>
      </c>
      <c r="D18" s="43" t="s">
        <v>1836</v>
      </c>
      <c r="E18" s="45" t="s">
        <v>1877</v>
      </c>
      <c r="F18" s="1757" t="s">
        <v>1883</v>
      </c>
      <c r="G18" s="1758"/>
      <c r="H18" s="107" t="s">
        <v>1889</v>
      </c>
      <c r="I18" s="109" t="s">
        <v>1891</v>
      </c>
      <c r="M18" s="74"/>
    </row>
    <row r="19" spans="1:13" ht="27" customHeight="1" thickBot="1">
      <c r="A19" s="401">
        <v>6</v>
      </c>
      <c r="B19" s="1755"/>
      <c r="C19" s="103" t="s">
        <v>1021</v>
      </c>
      <c r="D19" s="43" t="s">
        <v>1836</v>
      </c>
      <c r="E19" s="45" t="s">
        <v>1877</v>
      </c>
      <c r="F19" s="1757" t="s">
        <v>1881</v>
      </c>
      <c r="G19" s="1758"/>
      <c r="H19" s="107" t="s">
        <v>1886</v>
      </c>
      <c r="I19" s="1203">
        <v>44926</v>
      </c>
      <c r="M19" s="74"/>
    </row>
    <row r="20" spans="1:13" ht="27" customHeight="1" thickBot="1">
      <c r="A20" s="401">
        <v>7</v>
      </c>
      <c r="B20" s="1755"/>
      <c r="C20" s="103" t="s">
        <v>1021</v>
      </c>
      <c r="D20" s="43" t="s">
        <v>1836</v>
      </c>
      <c r="E20" s="45" t="s">
        <v>1877</v>
      </c>
      <c r="F20" s="1757"/>
      <c r="G20" s="1758"/>
      <c r="H20" s="107"/>
      <c r="I20" s="1204"/>
      <c r="M20" s="74"/>
    </row>
    <row r="21" spans="1:13" ht="27" customHeight="1" thickBot="1">
      <c r="A21" s="401">
        <v>8</v>
      </c>
      <c r="B21" s="1755"/>
      <c r="C21" s="103" t="s">
        <v>1021</v>
      </c>
      <c r="D21" s="43" t="s">
        <v>1836</v>
      </c>
      <c r="E21" s="45" t="s">
        <v>1877</v>
      </c>
      <c r="F21" s="1757"/>
      <c r="G21" s="1758"/>
      <c r="H21" s="107"/>
      <c r="I21" s="1204"/>
      <c r="M21" s="74"/>
    </row>
    <row r="22" spans="1:13" ht="27" customHeight="1" thickBot="1">
      <c r="A22" s="401">
        <v>9</v>
      </c>
      <c r="B22" s="1755"/>
      <c r="C22" s="103" t="s">
        <v>1021</v>
      </c>
      <c r="D22" s="43" t="s">
        <v>1836</v>
      </c>
      <c r="E22" s="45" t="s">
        <v>1877</v>
      </c>
      <c r="F22" s="1757" t="s">
        <v>1884</v>
      </c>
      <c r="G22" s="1758"/>
      <c r="H22" s="107" t="s">
        <v>1890</v>
      </c>
      <c r="I22" s="1203">
        <v>43071</v>
      </c>
      <c r="M22" s="74"/>
    </row>
    <row r="23" spans="1:13" ht="27" customHeight="1" thickBot="1">
      <c r="A23" s="401">
        <v>10</v>
      </c>
      <c r="B23" s="1756"/>
      <c r="C23" s="103" t="s">
        <v>1021</v>
      </c>
      <c r="D23" s="43" t="s">
        <v>1836</v>
      </c>
      <c r="E23" s="45" t="s">
        <v>1877</v>
      </c>
      <c r="F23" s="1757" t="s">
        <v>1884</v>
      </c>
      <c r="G23" s="1758"/>
      <c r="H23" s="107" t="s">
        <v>1890</v>
      </c>
      <c r="I23" s="1203">
        <v>42239</v>
      </c>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81" t="s">
        <v>1191</v>
      </c>
      <c r="B26" s="1782"/>
      <c r="C26" s="1782"/>
      <c r="D26" s="1782"/>
      <c r="E26" s="1782"/>
      <c r="F26" s="1782"/>
      <c r="G26" s="1782"/>
      <c r="H26" s="1782"/>
      <c r="I26" s="49"/>
      <c r="L26" s="798"/>
      <c r="M26" s="138"/>
    </row>
    <row r="27" spans="1:13">
      <c r="A27" s="49"/>
      <c r="B27" s="49"/>
      <c r="C27" s="49"/>
      <c r="D27" s="49"/>
      <c r="E27" s="49"/>
      <c r="F27" s="49"/>
      <c r="G27" s="49"/>
      <c r="H27" s="49"/>
      <c r="I27" s="49"/>
      <c r="L27" s="798"/>
      <c r="M27" s="74"/>
    </row>
    <row r="28" spans="1:13">
      <c r="A28" s="1753"/>
      <c r="B28" s="1753" t="s">
        <v>1192</v>
      </c>
      <c r="C28" s="1753"/>
      <c r="D28" s="1753"/>
      <c r="E28" s="1753"/>
      <c r="F28" s="1753" t="s">
        <v>1193</v>
      </c>
      <c r="G28" s="1753"/>
      <c r="H28" s="1753"/>
      <c r="I28" s="1759" t="s">
        <v>1194</v>
      </c>
      <c r="J28" s="799"/>
      <c r="L28" s="798"/>
      <c r="M28" s="74"/>
    </row>
    <row r="29" spans="1:13">
      <c r="A29" s="1753"/>
      <c r="B29" s="1753"/>
      <c r="C29" s="1753"/>
      <c r="D29" s="1753"/>
      <c r="E29" s="1753"/>
      <c r="F29" s="1753"/>
      <c r="G29" s="1753"/>
      <c r="H29" s="1753"/>
      <c r="I29" s="1760"/>
      <c r="J29" s="799"/>
      <c r="L29" s="798"/>
      <c r="M29" s="74"/>
    </row>
    <row r="30" spans="1:13" ht="33" customHeight="1">
      <c r="A30" s="57" t="s">
        <v>729</v>
      </c>
      <c r="B30" s="1747" t="s">
        <v>1195</v>
      </c>
      <c r="C30" s="1748"/>
      <c r="D30" s="1748"/>
      <c r="E30" s="1748"/>
      <c r="F30" s="1780" t="s">
        <v>1196</v>
      </c>
      <c r="G30" s="1778"/>
      <c r="H30" s="1779"/>
      <c r="I30" s="800" t="s">
        <v>1197</v>
      </c>
      <c r="J30" s="799"/>
      <c r="L30" s="798"/>
      <c r="M30" s="74"/>
    </row>
    <row r="31" spans="1:13" ht="33" customHeight="1">
      <c r="A31" s="57" t="s">
        <v>729</v>
      </c>
      <c r="B31" s="1777" t="s">
        <v>1198</v>
      </c>
      <c r="C31" s="1778"/>
      <c r="D31" s="1778"/>
      <c r="E31" s="1779"/>
      <c r="F31" s="1780" t="s">
        <v>1199</v>
      </c>
      <c r="G31" s="1778"/>
      <c r="H31" s="1779"/>
      <c r="I31" s="800" t="s">
        <v>1200</v>
      </c>
      <c r="J31" s="799"/>
      <c r="L31" s="798"/>
      <c r="M31" s="74"/>
    </row>
    <row r="32" spans="1:13" ht="33" customHeight="1">
      <c r="A32" s="57" t="s">
        <v>729</v>
      </c>
      <c r="B32" s="1747" t="s">
        <v>1201</v>
      </c>
      <c r="C32" s="1748"/>
      <c r="D32" s="1748"/>
      <c r="E32" s="1748"/>
      <c r="F32" s="1780" t="s">
        <v>1202</v>
      </c>
      <c r="G32" s="1778"/>
      <c r="H32" s="1779"/>
      <c r="I32" s="800" t="s">
        <v>1200</v>
      </c>
      <c r="J32" s="799"/>
      <c r="L32" s="798"/>
      <c r="M32" s="74"/>
    </row>
    <row r="33" spans="1:13" ht="33" customHeight="1">
      <c r="A33" s="801">
        <v>1</v>
      </c>
      <c r="B33" s="1776" t="s">
        <v>1892</v>
      </c>
      <c r="C33" s="1773"/>
      <c r="D33" s="1773"/>
      <c r="E33" s="1774"/>
      <c r="F33" s="1775" t="s">
        <v>1893</v>
      </c>
      <c r="G33" s="1775"/>
      <c r="H33" s="1775"/>
      <c r="I33" s="1205">
        <v>47107</v>
      </c>
      <c r="J33" s="799"/>
      <c r="K33" s="49" t="str">
        <f>IF(AND(B33&lt;&gt;"",F33&lt;&gt;"",I33&lt;&gt;""),"○","×")</f>
        <v>○</v>
      </c>
      <c r="L33" s="798"/>
      <c r="M33" s="125"/>
    </row>
    <row r="34" spans="1:13" ht="33" customHeight="1">
      <c r="A34" s="801">
        <v>2</v>
      </c>
      <c r="B34" s="1772"/>
      <c r="C34" s="1773"/>
      <c r="D34" s="1773"/>
      <c r="E34" s="1774"/>
      <c r="F34" s="1775"/>
      <c r="G34" s="1775"/>
      <c r="H34" s="1775"/>
      <c r="I34" s="108"/>
      <c r="J34" s="799"/>
      <c r="K34" s="51"/>
      <c r="L34" s="798"/>
      <c r="M34" s="74"/>
    </row>
    <row r="35" spans="1:13" ht="33" customHeight="1">
      <c r="A35" s="801">
        <v>3</v>
      </c>
      <c r="B35" s="1772"/>
      <c r="C35" s="1773"/>
      <c r="D35" s="1773"/>
      <c r="E35" s="1774"/>
      <c r="F35" s="1775"/>
      <c r="G35" s="1775"/>
      <c r="H35" s="1775"/>
      <c r="I35" s="108"/>
      <c r="J35" s="799"/>
      <c r="K35" s="51"/>
      <c r="L35" s="798"/>
      <c r="M35" s="74"/>
    </row>
    <row r="36" spans="1:13" ht="33" customHeight="1">
      <c r="A36" s="801">
        <v>4</v>
      </c>
      <c r="B36" s="1772"/>
      <c r="C36" s="1773"/>
      <c r="D36" s="1773"/>
      <c r="E36" s="1774"/>
      <c r="F36" s="1775"/>
      <c r="G36" s="1775"/>
      <c r="H36" s="1775"/>
      <c r="I36" s="108"/>
      <c r="J36" s="799"/>
      <c r="K36" s="51"/>
      <c r="L36" s="798"/>
      <c r="M36" s="74"/>
    </row>
    <row r="37" spans="1:13" ht="33" customHeight="1">
      <c r="A37" s="801">
        <v>5</v>
      </c>
      <c r="B37" s="1772"/>
      <c r="C37" s="1773"/>
      <c r="D37" s="1773"/>
      <c r="E37" s="1774"/>
      <c r="F37" s="1775"/>
      <c r="G37" s="1775"/>
      <c r="H37" s="1775"/>
      <c r="I37" s="108"/>
      <c r="J37" s="799"/>
      <c r="K37" s="51"/>
      <c r="L37" s="798"/>
      <c r="M37" s="113"/>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E1" zoomScaleNormal="100" zoomScaleSheetLayoutView="100" workbookViewId="0">
      <selection activeCell="H36" sqref="H36:I36"/>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08" t="s">
        <v>1204</v>
      </c>
      <c r="B1" s="1808"/>
      <c r="C1" s="1808"/>
      <c r="D1" s="1808"/>
      <c r="E1" s="1808"/>
      <c r="F1" s="1808"/>
      <c r="G1" s="1808"/>
      <c r="H1" s="1808"/>
      <c r="I1" s="1808"/>
      <c r="J1" s="1808"/>
    </row>
    <row r="2" spans="1:21" ht="24.95" customHeight="1" thickBot="1">
      <c r="B2" s="1277" t="s">
        <v>1205</v>
      </c>
      <c r="C2" s="1277"/>
      <c r="D2" s="1277"/>
      <c r="E2" s="1277"/>
      <c r="F2" s="1277"/>
      <c r="G2" s="1277"/>
      <c r="H2" s="1277"/>
      <c r="I2" s="807" t="str">
        <f>IF(COUNTIF(K32:K36,"×")=0,"入力済","未入力あり")</f>
        <v>入力済</v>
      </c>
      <c r="M2" s="139" t="s">
        <v>204</v>
      </c>
    </row>
    <row r="3" spans="1:21" ht="24.95" customHeight="1">
      <c r="B3" s="1809"/>
      <c r="C3" s="1809"/>
      <c r="D3" s="1809"/>
      <c r="E3" s="1809"/>
      <c r="F3" s="1809"/>
      <c r="G3" s="1809"/>
      <c r="H3" s="1809"/>
      <c r="I3" s="387"/>
      <c r="M3" s="74"/>
    </row>
    <row r="4" spans="1:21" ht="24.95" customHeight="1">
      <c r="G4" s="806" t="s">
        <v>725</v>
      </c>
      <c r="H4" s="1278" t="str">
        <f>表紙!E2</f>
        <v>社会医療法人生長会　ベルランド総合病院</v>
      </c>
      <c r="I4" s="1279"/>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810" t="s">
        <v>1206</v>
      </c>
      <c r="B8" s="1810"/>
      <c r="C8" s="1810"/>
      <c r="D8" s="1810"/>
      <c r="E8" s="1810"/>
      <c r="F8" s="1810"/>
      <c r="G8" s="1810"/>
      <c r="H8" s="1810"/>
      <c r="I8" s="1810"/>
      <c r="J8" s="1810"/>
      <c r="M8" s="116"/>
    </row>
    <row r="9" spans="1:21" ht="20.100000000000001" customHeight="1">
      <c r="A9" s="1810" t="s">
        <v>1207</v>
      </c>
      <c r="B9" s="1810"/>
      <c r="C9" s="1810"/>
      <c r="D9" s="1810"/>
      <c r="E9" s="1810"/>
      <c r="F9" s="1810"/>
      <c r="G9" s="1810"/>
      <c r="H9" s="1810"/>
      <c r="I9" s="1810"/>
      <c r="J9" s="1810"/>
      <c r="M9" s="74"/>
    </row>
    <row r="10" spans="1:21" ht="20.100000000000001" customHeight="1">
      <c r="A10" s="1"/>
      <c r="B10" s="1"/>
      <c r="C10" s="1"/>
      <c r="D10" s="1"/>
      <c r="E10" s="1"/>
      <c r="F10" s="1"/>
      <c r="G10" s="1"/>
      <c r="H10" s="1"/>
      <c r="I10" s="1"/>
      <c r="J10" s="1"/>
      <c r="M10" s="74"/>
    </row>
    <row r="11" spans="1:21" s="507" customFormat="1" ht="25.5" customHeight="1">
      <c r="A11" s="1811" t="s">
        <v>1208</v>
      </c>
      <c r="B11" s="1811"/>
      <c r="C11" s="1811"/>
      <c r="D11" s="1811"/>
      <c r="E11" s="1811"/>
      <c r="F11" s="1811"/>
      <c r="G11" s="1811"/>
      <c r="H11" s="1811"/>
      <c r="I11" s="1811"/>
      <c r="J11" s="1811"/>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810" t="s">
        <v>1210</v>
      </c>
      <c r="C13" s="1810"/>
      <c r="D13" s="1810"/>
      <c r="E13" s="1810"/>
      <c r="F13" s="1810"/>
      <c r="G13" s="1810"/>
      <c r="H13" s="1810"/>
      <c r="I13" s="1810"/>
      <c r="J13" s="1810"/>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812" t="s">
        <v>1211</v>
      </c>
      <c r="F15" s="1813"/>
      <c r="G15" s="1813"/>
      <c r="H15" s="1813"/>
      <c r="I15" s="1814"/>
      <c r="K15" s="811"/>
      <c r="L15" s="808"/>
      <c r="M15" s="74"/>
      <c r="N15" s="808"/>
      <c r="O15" s="808"/>
      <c r="P15" s="808"/>
      <c r="Q15" s="808"/>
      <c r="R15" s="808"/>
      <c r="S15" s="808"/>
      <c r="T15" s="808"/>
      <c r="U15" s="808"/>
    </row>
    <row r="16" spans="1:21" s="507" customFormat="1" ht="27.95" customHeight="1">
      <c r="B16" s="804" t="s">
        <v>729</v>
      </c>
      <c r="C16" s="812" t="s">
        <v>1212</v>
      </c>
      <c r="D16" s="813">
        <v>2</v>
      </c>
      <c r="E16" s="1815" t="s">
        <v>1213</v>
      </c>
      <c r="F16" s="1816"/>
      <c r="G16" s="1816"/>
      <c r="H16" s="1816"/>
      <c r="I16" s="1817"/>
      <c r="K16" s="808"/>
      <c r="L16" s="808"/>
      <c r="M16" s="74"/>
      <c r="N16" s="808"/>
      <c r="O16" s="808"/>
      <c r="P16" s="808"/>
      <c r="Q16" s="808"/>
      <c r="R16" s="808"/>
      <c r="S16" s="808"/>
      <c r="T16" s="808"/>
      <c r="U16" s="808"/>
    </row>
    <row r="17" spans="1:21" s="507" customFormat="1" ht="27.95" customHeight="1">
      <c r="B17" s="804">
        <v>1</v>
      </c>
      <c r="C17" s="96"/>
      <c r="D17" s="805"/>
      <c r="E17" s="1818"/>
      <c r="F17" s="1803"/>
      <c r="G17" s="1803"/>
      <c r="H17" s="1803"/>
      <c r="I17" s="1804"/>
      <c r="K17" s="808"/>
      <c r="L17" s="808"/>
      <c r="M17" s="74"/>
      <c r="N17" s="333">
        <v>0</v>
      </c>
      <c r="O17" s="334">
        <v>20</v>
      </c>
      <c r="P17" s="808"/>
      <c r="Q17" s="808"/>
      <c r="R17" s="808"/>
      <c r="S17" s="808"/>
      <c r="T17" s="808"/>
      <c r="U17" s="808"/>
    </row>
    <row r="18" spans="1:21" s="507" customFormat="1" ht="27.95" customHeight="1">
      <c r="B18" s="804">
        <v>2</v>
      </c>
      <c r="C18" s="86"/>
      <c r="D18" s="805"/>
      <c r="E18" s="1805"/>
      <c r="F18" s="1806"/>
      <c r="G18" s="1806"/>
      <c r="H18" s="1806"/>
      <c r="I18" s="1807"/>
      <c r="K18" s="808"/>
      <c r="L18" s="808"/>
      <c r="M18" s="74"/>
      <c r="N18" s="333">
        <v>0</v>
      </c>
      <c r="O18" s="334">
        <v>20</v>
      </c>
      <c r="P18" s="808"/>
      <c r="Q18" s="808"/>
      <c r="R18" s="808"/>
      <c r="S18" s="808"/>
      <c r="T18" s="808"/>
      <c r="U18" s="808"/>
    </row>
    <row r="19" spans="1:21" s="507" customFormat="1" ht="27.95" customHeight="1">
      <c r="B19" s="814">
        <v>3</v>
      </c>
      <c r="C19" s="86"/>
      <c r="D19" s="805"/>
      <c r="E19" s="1802"/>
      <c r="F19" s="1803"/>
      <c r="G19" s="1803"/>
      <c r="H19" s="1803"/>
      <c r="I19" s="1804"/>
      <c r="K19" s="811"/>
      <c r="L19" s="808"/>
      <c r="M19" s="74"/>
      <c r="N19" s="333">
        <v>0</v>
      </c>
      <c r="O19" s="334">
        <v>20</v>
      </c>
      <c r="P19" s="808"/>
      <c r="Q19" s="808"/>
      <c r="R19" s="808"/>
      <c r="S19" s="808"/>
      <c r="T19" s="808"/>
      <c r="U19" s="808"/>
    </row>
    <row r="20" spans="1:21" s="507" customFormat="1" ht="27.95" customHeight="1">
      <c r="B20" s="804">
        <v>4</v>
      </c>
      <c r="C20" s="86"/>
      <c r="D20" s="805"/>
      <c r="E20" s="1802"/>
      <c r="F20" s="1803"/>
      <c r="G20" s="1803"/>
      <c r="H20" s="1803"/>
      <c r="I20" s="1804"/>
      <c r="K20" s="808"/>
      <c r="L20" s="808"/>
      <c r="M20" s="74"/>
      <c r="N20" s="333">
        <v>0</v>
      </c>
      <c r="O20" s="334">
        <v>20</v>
      </c>
      <c r="P20" s="808"/>
      <c r="Q20" s="808"/>
      <c r="R20" s="808"/>
      <c r="S20" s="808"/>
      <c r="T20" s="808"/>
      <c r="U20" s="808"/>
    </row>
    <row r="21" spans="1:21" s="507" customFormat="1" ht="27.95" customHeight="1">
      <c r="B21" s="804">
        <v>5</v>
      </c>
      <c r="C21" s="86"/>
      <c r="D21" s="805"/>
      <c r="E21" s="1802"/>
      <c r="F21" s="1803"/>
      <c r="G21" s="1803"/>
      <c r="H21" s="1803"/>
      <c r="I21" s="1804"/>
      <c r="K21" s="808"/>
      <c r="L21" s="808"/>
      <c r="M21" s="74"/>
      <c r="N21" s="333">
        <v>0</v>
      </c>
      <c r="O21" s="334">
        <v>20</v>
      </c>
      <c r="P21" s="808"/>
      <c r="Q21" s="808"/>
      <c r="R21" s="808"/>
      <c r="S21" s="808"/>
      <c r="T21" s="808"/>
      <c r="U21" s="808"/>
    </row>
    <row r="22" spans="1:21" s="507" customFormat="1" ht="27.95" customHeight="1">
      <c r="B22" s="804">
        <v>6</v>
      </c>
      <c r="C22" s="86"/>
      <c r="D22" s="805"/>
      <c r="E22" s="1802"/>
      <c r="F22" s="1803"/>
      <c r="G22" s="1803"/>
      <c r="H22" s="1803"/>
      <c r="I22" s="1804"/>
      <c r="K22" s="808"/>
      <c r="L22" s="808"/>
      <c r="M22" s="74"/>
      <c r="N22" s="333">
        <v>0</v>
      </c>
      <c r="O22" s="334">
        <v>20</v>
      </c>
      <c r="P22" s="808"/>
      <c r="Q22" s="808"/>
      <c r="R22" s="808"/>
      <c r="S22" s="808"/>
      <c r="T22" s="808"/>
      <c r="U22" s="808"/>
    </row>
    <row r="23" spans="1:21" s="507" customFormat="1" ht="27.95" customHeight="1">
      <c r="B23" s="804">
        <v>7</v>
      </c>
      <c r="C23" s="86"/>
      <c r="D23" s="805"/>
      <c r="E23" s="1802"/>
      <c r="F23" s="1803"/>
      <c r="G23" s="1803"/>
      <c r="H23" s="1803"/>
      <c r="I23" s="1804"/>
      <c r="K23" s="811"/>
      <c r="L23" s="808"/>
      <c r="M23" s="74"/>
      <c r="N23" s="333">
        <v>0</v>
      </c>
      <c r="O23" s="334">
        <v>20</v>
      </c>
      <c r="P23" s="808"/>
      <c r="Q23" s="808"/>
      <c r="R23" s="808"/>
      <c r="S23" s="808"/>
      <c r="T23" s="808"/>
      <c r="U23" s="808"/>
    </row>
    <row r="24" spans="1:21" s="507" customFormat="1" ht="27.95" customHeight="1">
      <c r="B24" s="804">
        <v>8</v>
      </c>
      <c r="C24" s="86"/>
      <c r="D24" s="805"/>
      <c r="E24" s="1802"/>
      <c r="F24" s="1803"/>
      <c r="G24" s="1803"/>
      <c r="H24" s="1803"/>
      <c r="I24" s="1804"/>
      <c r="K24" s="808"/>
      <c r="L24" s="808"/>
      <c r="M24" s="74"/>
      <c r="N24" s="333">
        <v>0</v>
      </c>
      <c r="O24" s="334">
        <v>20</v>
      </c>
      <c r="P24" s="808"/>
      <c r="Q24" s="808"/>
      <c r="R24" s="808"/>
      <c r="S24" s="808"/>
      <c r="T24" s="808"/>
      <c r="U24" s="808"/>
    </row>
    <row r="25" spans="1:21" s="507" customFormat="1" ht="27.95" customHeight="1">
      <c r="B25" s="804">
        <v>9</v>
      </c>
      <c r="C25" s="86"/>
      <c r="D25" s="805"/>
      <c r="E25" s="1802"/>
      <c r="F25" s="1803"/>
      <c r="G25" s="1803"/>
      <c r="H25" s="1803"/>
      <c r="I25" s="1804"/>
      <c r="K25" s="808"/>
      <c r="L25" s="808"/>
      <c r="M25" s="74"/>
      <c r="N25" s="333">
        <v>0</v>
      </c>
      <c r="O25" s="334">
        <v>20</v>
      </c>
      <c r="P25" s="808"/>
      <c r="Q25" s="808"/>
      <c r="R25" s="808"/>
      <c r="S25" s="808"/>
      <c r="T25" s="808"/>
      <c r="U25" s="808"/>
    </row>
    <row r="26" spans="1:21" s="507" customFormat="1" ht="27.95" customHeight="1">
      <c r="B26" s="804">
        <v>10</v>
      </c>
      <c r="C26" s="86"/>
      <c r="D26" s="805"/>
      <c r="E26" s="1802"/>
      <c r="F26" s="1803"/>
      <c r="G26" s="1803"/>
      <c r="H26" s="1803"/>
      <c r="I26" s="1804"/>
      <c r="K26" s="808"/>
      <c r="L26" s="808"/>
      <c r="M26" s="74"/>
      <c r="N26" s="333">
        <v>0</v>
      </c>
      <c r="O26" s="334">
        <v>20</v>
      </c>
      <c r="P26" s="808"/>
      <c r="Q26" s="808"/>
      <c r="R26" s="808"/>
      <c r="S26" s="808"/>
      <c r="T26" s="808"/>
      <c r="U26" s="808"/>
    </row>
    <row r="27" spans="1:21" s="507" customFormat="1" ht="27.95" customHeight="1">
      <c r="B27" s="804">
        <v>11</v>
      </c>
      <c r="C27" s="86"/>
      <c r="D27" s="805"/>
      <c r="E27" s="1802"/>
      <c r="F27" s="1803"/>
      <c r="G27" s="1803"/>
      <c r="H27" s="1803"/>
      <c r="I27" s="1804"/>
      <c r="K27" s="811"/>
      <c r="L27" s="808"/>
      <c r="M27" s="74"/>
      <c r="N27" s="333">
        <v>0</v>
      </c>
      <c r="O27" s="334">
        <v>20</v>
      </c>
      <c r="P27" s="808"/>
      <c r="Q27" s="808"/>
      <c r="R27" s="808"/>
      <c r="S27" s="808"/>
      <c r="T27" s="808"/>
      <c r="U27" s="808"/>
    </row>
    <row r="28" spans="1:21" s="507" customFormat="1" ht="27.95" customHeight="1">
      <c r="B28" s="804">
        <v>12</v>
      </c>
      <c r="C28" s="86"/>
      <c r="D28" s="805"/>
      <c r="E28" s="1802"/>
      <c r="F28" s="1803"/>
      <c r="G28" s="1803"/>
      <c r="H28" s="1803"/>
      <c r="I28" s="1804"/>
      <c r="K28" s="808"/>
      <c r="L28" s="815"/>
      <c r="M28" s="74"/>
      <c r="N28" s="333">
        <v>0</v>
      </c>
      <c r="O28" s="334">
        <v>20</v>
      </c>
      <c r="P28" s="816"/>
      <c r="Q28" s="816"/>
      <c r="R28" s="816"/>
      <c r="S28" s="816"/>
      <c r="T28" s="816"/>
      <c r="U28" s="816"/>
    </row>
    <row r="29" spans="1:21" s="507" customFormat="1" ht="27.95" customHeight="1">
      <c r="B29" s="804">
        <v>13</v>
      </c>
      <c r="C29" s="86"/>
      <c r="D29" s="805"/>
      <c r="E29" s="1802"/>
      <c r="F29" s="1803"/>
      <c r="G29" s="1803"/>
      <c r="H29" s="1803"/>
      <c r="I29" s="1804"/>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1" t="s">
        <v>1215</v>
      </c>
      <c r="C32" s="1791"/>
      <c r="D32" s="1791"/>
      <c r="E32" s="1791"/>
      <c r="F32" s="1791"/>
      <c r="G32" s="1791"/>
      <c r="H32" s="1801" t="s">
        <v>1777</v>
      </c>
      <c r="I32" s="1801"/>
      <c r="K32" s="8" t="str">
        <f>IF(H32="","×","○")</f>
        <v>○</v>
      </c>
      <c r="M32" s="74"/>
      <c r="N32" s="816"/>
      <c r="O32" s="816"/>
      <c r="P32" s="816"/>
      <c r="Q32" s="816"/>
      <c r="R32" s="816"/>
      <c r="S32" s="816"/>
      <c r="T32" s="816"/>
      <c r="U32" s="816"/>
    </row>
    <row r="33" spans="1:21" s="8" customFormat="1" ht="33" customHeight="1">
      <c r="A33" s="818"/>
      <c r="B33" s="1791" t="s">
        <v>1216</v>
      </c>
      <c r="C33" s="1791"/>
      <c r="D33" s="1791"/>
      <c r="E33" s="1791"/>
      <c r="F33" s="1791"/>
      <c r="G33" s="1791"/>
      <c r="H33" s="1792" t="s">
        <v>1894</v>
      </c>
      <c r="I33" s="1793"/>
      <c r="K33" s="8" t="str">
        <f t="shared" ref="K33:K36" si="0">IF(H33="","×","○")</f>
        <v>○</v>
      </c>
      <c r="L33" s="819"/>
      <c r="M33" s="74"/>
      <c r="N33" s="819"/>
      <c r="O33" s="819"/>
      <c r="P33" s="819"/>
      <c r="Q33" s="819"/>
      <c r="R33" s="819"/>
      <c r="S33" s="819"/>
      <c r="T33" s="819"/>
      <c r="U33" s="819"/>
    </row>
    <row r="34" spans="1:21" s="8" customFormat="1" ht="33" customHeight="1">
      <c r="A34" s="818"/>
      <c r="B34" s="1791" t="s">
        <v>1217</v>
      </c>
      <c r="C34" s="1791"/>
      <c r="D34" s="1791"/>
      <c r="E34" s="1791"/>
      <c r="F34" s="1791"/>
      <c r="G34" s="1791"/>
      <c r="H34" s="1792" t="s">
        <v>1894</v>
      </c>
      <c r="I34" s="1793"/>
      <c r="K34" s="8" t="str">
        <f t="shared" si="0"/>
        <v>○</v>
      </c>
      <c r="L34" s="819"/>
      <c r="M34" s="74"/>
      <c r="N34" s="819"/>
      <c r="O34" s="819"/>
      <c r="P34" s="819"/>
      <c r="Q34" s="819"/>
      <c r="R34" s="819"/>
      <c r="S34" s="819"/>
      <c r="T34" s="819"/>
      <c r="U34" s="819"/>
    </row>
    <row r="35" spans="1:21" s="8" customFormat="1" ht="33" customHeight="1">
      <c r="A35" s="818"/>
      <c r="B35" s="1791" t="s">
        <v>1218</v>
      </c>
      <c r="C35" s="1791"/>
      <c r="D35" s="1791"/>
      <c r="E35" s="1791"/>
      <c r="F35" s="1791"/>
      <c r="G35" s="1791"/>
      <c r="H35" s="1792" t="s">
        <v>1894</v>
      </c>
      <c r="I35" s="1793"/>
      <c r="K35" s="8" t="str">
        <f t="shared" si="0"/>
        <v>○</v>
      </c>
      <c r="L35" s="819"/>
      <c r="M35" s="74"/>
      <c r="N35" s="819"/>
      <c r="O35" s="819"/>
      <c r="P35" s="819"/>
      <c r="Q35" s="819"/>
      <c r="R35" s="819"/>
      <c r="S35" s="819"/>
      <c r="T35" s="819"/>
      <c r="U35" s="819"/>
    </row>
    <row r="36" spans="1:21" s="8" customFormat="1" ht="33" customHeight="1">
      <c r="A36" s="818"/>
      <c r="B36" s="1791" t="s">
        <v>1219</v>
      </c>
      <c r="C36" s="1791"/>
      <c r="D36" s="1791"/>
      <c r="E36" s="1791"/>
      <c r="F36" s="1791"/>
      <c r="G36" s="1791"/>
      <c r="H36" s="1792" t="s">
        <v>1894</v>
      </c>
      <c r="I36" s="1793"/>
      <c r="K36" s="8" t="str">
        <f t="shared" si="0"/>
        <v>○</v>
      </c>
      <c r="L36" s="819"/>
      <c r="M36" s="74"/>
      <c r="N36" s="819"/>
      <c r="O36" s="819"/>
      <c r="P36" s="819"/>
      <c r="Q36" s="819"/>
      <c r="R36" s="819"/>
      <c r="S36" s="819"/>
      <c r="T36" s="819"/>
      <c r="U36" s="819"/>
    </row>
    <row r="37" spans="1:21" s="8" customFormat="1" ht="33" customHeight="1">
      <c r="A37" s="818"/>
      <c r="B37" s="1794" t="s">
        <v>1220</v>
      </c>
      <c r="C37" s="1794"/>
      <c r="D37" s="1794"/>
      <c r="E37" s="1794"/>
      <c r="F37" s="1794"/>
      <c r="G37" s="1794"/>
      <c r="H37" s="805"/>
      <c r="I37" s="31" t="s">
        <v>1221</v>
      </c>
      <c r="K37" s="547"/>
      <c r="L37" s="819"/>
      <c r="M37" s="74"/>
      <c r="N37" s="333">
        <v>0</v>
      </c>
      <c r="O37" s="334">
        <v>20</v>
      </c>
      <c r="P37" s="819"/>
      <c r="Q37" s="819"/>
      <c r="R37" s="819"/>
      <c r="S37" s="819"/>
      <c r="T37" s="819"/>
      <c r="U37" s="819"/>
    </row>
    <row r="38" spans="1:21" ht="33" customHeight="1">
      <c r="B38" s="1795" t="s">
        <v>1222</v>
      </c>
      <c r="C38" s="1796"/>
      <c r="D38" s="1796"/>
      <c r="E38" s="1796"/>
      <c r="F38" s="1796"/>
      <c r="G38" s="1796"/>
      <c r="H38" s="1796"/>
      <c r="I38" s="1797"/>
      <c r="K38" s="808"/>
      <c r="L38" s="808"/>
      <c r="M38" s="74"/>
      <c r="N38" s="808"/>
      <c r="O38" s="808"/>
      <c r="P38" s="808"/>
      <c r="Q38" s="808"/>
      <c r="R38" s="808"/>
      <c r="S38" s="808"/>
      <c r="T38" s="808"/>
      <c r="U38" s="808"/>
    </row>
    <row r="39" spans="1:21" ht="23.1" customHeight="1">
      <c r="B39" s="1783"/>
      <c r="C39" s="1784"/>
      <c r="D39" s="1784"/>
      <c r="E39" s="1784"/>
      <c r="F39" s="1784"/>
      <c r="G39" s="1784"/>
      <c r="H39" s="1784"/>
      <c r="I39" s="1785"/>
      <c r="K39" s="621"/>
      <c r="L39" s="808"/>
      <c r="M39" s="74"/>
      <c r="N39" s="808"/>
      <c r="O39" s="808"/>
      <c r="P39" s="808"/>
      <c r="Q39" s="808"/>
      <c r="R39" s="808"/>
      <c r="S39" s="808"/>
      <c r="T39" s="808"/>
      <c r="U39" s="808"/>
    </row>
    <row r="40" spans="1:21" ht="23.1" customHeight="1">
      <c r="B40" s="1786"/>
      <c r="C40" s="1328"/>
      <c r="D40" s="1328"/>
      <c r="E40" s="1328"/>
      <c r="F40" s="1328"/>
      <c r="G40" s="1328"/>
      <c r="H40" s="1328"/>
      <c r="I40" s="1787"/>
      <c r="K40" s="808"/>
      <c r="L40" s="808"/>
      <c r="M40" s="74"/>
      <c r="N40" s="808"/>
      <c r="O40" s="808"/>
      <c r="P40" s="808"/>
      <c r="Q40" s="808"/>
      <c r="R40" s="808"/>
      <c r="S40" s="808"/>
      <c r="T40" s="808"/>
      <c r="U40" s="808"/>
    </row>
    <row r="41" spans="1:21" ht="23.1" customHeight="1">
      <c r="B41" s="1786"/>
      <c r="C41" s="1328"/>
      <c r="D41" s="1328"/>
      <c r="E41" s="1328"/>
      <c r="F41" s="1328"/>
      <c r="G41" s="1328"/>
      <c r="H41" s="1328"/>
      <c r="I41" s="1787"/>
      <c r="K41" s="808"/>
      <c r="L41" s="808"/>
      <c r="M41" s="74"/>
      <c r="N41" s="808"/>
      <c r="O41" s="808"/>
      <c r="P41" s="808"/>
      <c r="Q41" s="808"/>
      <c r="R41" s="808"/>
      <c r="S41" s="808"/>
      <c r="T41" s="808"/>
      <c r="U41" s="808"/>
    </row>
    <row r="42" spans="1:21" ht="23.1" customHeight="1">
      <c r="B42" s="1786"/>
      <c r="C42" s="1328"/>
      <c r="D42" s="1328"/>
      <c r="E42" s="1328"/>
      <c r="F42" s="1328"/>
      <c r="G42" s="1328"/>
      <c r="H42" s="1328"/>
      <c r="I42" s="1787"/>
      <c r="K42" s="808"/>
      <c r="L42" s="808"/>
      <c r="M42" s="74"/>
      <c r="N42" s="808"/>
      <c r="O42" s="808"/>
      <c r="P42" s="808"/>
      <c r="Q42" s="808"/>
      <c r="R42" s="808"/>
      <c r="S42" s="808"/>
      <c r="T42" s="808"/>
      <c r="U42" s="808"/>
    </row>
    <row r="43" spans="1:21" ht="23.1" customHeight="1">
      <c r="B43" s="1788"/>
      <c r="C43" s="1789"/>
      <c r="D43" s="1789"/>
      <c r="E43" s="1789"/>
      <c r="F43" s="1789"/>
      <c r="G43" s="1789"/>
      <c r="H43" s="1789"/>
      <c r="I43" s="1790"/>
      <c r="K43" s="808"/>
      <c r="L43" s="808"/>
      <c r="M43" s="74"/>
      <c r="N43" s="808"/>
      <c r="O43" s="808"/>
      <c r="P43" s="808"/>
      <c r="Q43" s="808"/>
      <c r="R43" s="808"/>
      <c r="S43" s="808"/>
      <c r="T43" s="808"/>
      <c r="U43" s="808"/>
    </row>
    <row r="44" spans="1:21" ht="33" customHeight="1">
      <c r="B44" s="1798" t="s">
        <v>1223</v>
      </c>
      <c r="C44" s="1799"/>
      <c r="D44" s="1799"/>
      <c r="E44" s="1799"/>
      <c r="F44" s="1799"/>
      <c r="G44" s="1799"/>
      <c r="H44" s="1799"/>
      <c r="I44" s="1800"/>
      <c r="K44" s="808"/>
      <c r="L44" s="808"/>
      <c r="M44" s="74"/>
      <c r="N44" s="808"/>
      <c r="O44" s="808"/>
      <c r="P44" s="808"/>
      <c r="Q44" s="808"/>
      <c r="R44" s="808"/>
      <c r="S44" s="808"/>
      <c r="T44" s="808"/>
      <c r="U44" s="808"/>
    </row>
    <row r="45" spans="1:21" ht="23.1" customHeight="1">
      <c r="B45" s="1783"/>
      <c r="C45" s="1784"/>
      <c r="D45" s="1784"/>
      <c r="E45" s="1784"/>
      <c r="F45" s="1784"/>
      <c r="G45" s="1784"/>
      <c r="H45" s="1784"/>
      <c r="I45" s="1785"/>
      <c r="K45" s="808"/>
      <c r="L45" s="808"/>
      <c r="M45" s="74"/>
      <c r="N45" s="808"/>
      <c r="O45" s="808"/>
      <c r="P45" s="808"/>
      <c r="Q45" s="808"/>
      <c r="R45" s="808"/>
      <c r="S45" s="808"/>
      <c r="T45" s="808"/>
      <c r="U45" s="808"/>
    </row>
    <row r="46" spans="1:21" ht="23.1" customHeight="1">
      <c r="B46" s="1786"/>
      <c r="C46" s="1328"/>
      <c r="D46" s="1328"/>
      <c r="E46" s="1328"/>
      <c r="F46" s="1328"/>
      <c r="G46" s="1328"/>
      <c r="H46" s="1328"/>
      <c r="I46" s="1787"/>
      <c r="K46" s="808"/>
      <c r="L46" s="808"/>
      <c r="M46" s="74"/>
      <c r="N46" s="808"/>
      <c r="O46" s="808"/>
      <c r="P46" s="808"/>
      <c r="Q46" s="808"/>
      <c r="R46" s="808"/>
      <c r="S46" s="808"/>
      <c r="T46" s="808"/>
      <c r="U46" s="808"/>
    </row>
    <row r="47" spans="1:21" ht="23.1" customHeight="1">
      <c r="B47" s="1788"/>
      <c r="C47" s="1789"/>
      <c r="D47" s="1789"/>
      <c r="E47" s="1789"/>
      <c r="F47" s="1789"/>
      <c r="G47" s="1789"/>
      <c r="H47" s="1789"/>
      <c r="I47" s="1790"/>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E16" zoomScale="90" zoomScaleNormal="100" zoomScaleSheetLayoutView="100" workbookViewId="0">
      <selection activeCell="F26" sqref="F26:G26"/>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08" t="s">
        <v>1431</v>
      </c>
      <c r="B1" s="1808"/>
      <c r="C1" s="1808"/>
      <c r="D1" s="1808"/>
      <c r="E1" s="1808"/>
      <c r="F1" s="1808"/>
      <c r="G1" s="1808"/>
      <c r="H1" s="1808"/>
      <c r="I1" s="1808"/>
      <c r="J1" s="1808"/>
    </row>
    <row r="2" spans="1:13" ht="24.95" customHeight="1" thickBot="1">
      <c r="B2" s="1277" t="s">
        <v>1205</v>
      </c>
      <c r="C2" s="1277"/>
      <c r="D2" s="1277"/>
      <c r="E2" s="1277"/>
      <c r="F2" s="1277"/>
      <c r="G2" s="1277"/>
      <c r="H2" s="1277"/>
      <c r="I2" s="807" t="str">
        <f>IF(COUNTIF(K:K,"×")=0,"入力済","未入力あり")</f>
        <v>入力済</v>
      </c>
      <c r="M2" s="139" t="s">
        <v>204</v>
      </c>
    </row>
    <row r="3" spans="1:13" ht="24.95" customHeight="1">
      <c r="B3" s="1809"/>
      <c r="C3" s="1809"/>
      <c r="D3" s="1809"/>
      <c r="E3" s="1809"/>
      <c r="F3" s="1809"/>
      <c r="G3" s="1809"/>
      <c r="H3" s="1809"/>
      <c r="I3" s="387"/>
      <c r="M3" s="74"/>
    </row>
    <row r="4" spans="1:13" ht="24.95" customHeight="1">
      <c r="G4" s="806" t="s">
        <v>725</v>
      </c>
      <c r="H4" s="1278" t="str">
        <f>表紙!E2</f>
        <v>社会医療法人生長会　ベルランド総合病院</v>
      </c>
      <c r="I4" s="1279"/>
      <c r="M4" s="74"/>
    </row>
    <row r="5" spans="1:13" ht="20.100000000000001" customHeight="1">
      <c r="M5" s="116"/>
    </row>
    <row r="6" spans="1:13" ht="11.25" customHeight="1">
      <c r="G6" s="528"/>
      <c r="M6" s="74"/>
    </row>
    <row r="7" spans="1:13" ht="9.9499999999999993" customHeight="1">
      <c r="G7" s="528"/>
      <c r="M7" s="74"/>
    </row>
    <row r="8" spans="1:13" ht="20.100000000000001" customHeight="1">
      <c r="A8" s="1810" t="s">
        <v>1432</v>
      </c>
      <c r="B8" s="1810"/>
      <c r="C8" s="1810"/>
      <c r="D8" s="1810"/>
      <c r="E8" s="1810"/>
      <c r="F8" s="1810"/>
      <c r="G8" s="1810"/>
      <c r="H8" s="1810"/>
      <c r="I8" s="1810"/>
      <c r="J8" s="1810"/>
      <c r="M8" s="116"/>
    </row>
    <row r="9" spans="1:13" ht="20.100000000000001" customHeight="1" thickBot="1">
      <c r="A9" s="1"/>
      <c r="B9" s="1103" t="s">
        <v>1441</v>
      </c>
      <c r="C9" s="1"/>
      <c r="D9" s="1"/>
      <c r="E9" s="1"/>
      <c r="F9" s="1"/>
      <c r="G9" s="1"/>
      <c r="H9" s="1"/>
      <c r="I9" s="1"/>
      <c r="J9" s="1"/>
      <c r="K9" s="547"/>
      <c r="M9" s="116"/>
    </row>
    <row r="10" spans="1:13" ht="20.100000000000001" customHeight="1" thickBot="1">
      <c r="A10" s="1823" t="s">
        <v>1146</v>
      </c>
      <c r="B10" s="1824"/>
      <c r="C10" s="1824"/>
      <c r="D10" s="1824"/>
      <c r="E10" s="1824"/>
      <c r="F10" s="1824"/>
      <c r="G10" s="1824"/>
      <c r="H10" s="1825"/>
      <c r="K10" s="1187" t="str">
        <f>IF(ISBLANK(A10),"×","〇")</f>
        <v>〇</v>
      </c>
      <c r="M10" s="74"/>
    </row>
    <row r="11" spans="1:13" ht="20.100000000000001" customHeight="1" thickBot="1">
      <c r="A11" s="1"/>
      <c r="B11" s="1"/>
      <c r="C11" s="1"/>
      <c r="D11" s="1"/>
      <c r="F11" s="1826" t="s">
        <v>1690</v>
      </c>
      <c r="G11" s="1827"/>
      <c r="H11" s="1188">
        <v>2</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28" t="s">
        <v>1691</v>
      </c>
      <c r="B14" s="1829"/>
      <c r="C14" s="1829"/>
      <c r="D14" s="1829"/>
      <c r="E14" s="1829"/>
      <c r="F14" s="1829"/>
      <c r="G14" s="1829"/>
      <c r="H14" s="1829"/>
      <c r="I14" s="1830"/>
      <c r="J14" s="1"/>
      <c r="M14" s="74"/>
    </row>
    <row r="15" spans="1:13" ht="20.100000000000001" customHeight="1">
      <c r="A15" s="1831"/>
      <c r="B15" s="1832"/>
      <c r="C15" s="1832"/>
      <c r="D15" s="1832"/>
      <c r="E15" s="1832"/>
      <c r="F15" s="1832"/>
      <c r="G15" s="1832"/>
      <c r="H15" s="1832"/>
      <c r="I15" s="1833"/>
      <c r="J15" s="1"/>
      <c r="M15" s="74"/>
    </row>
    <row r="16" spans="1:13" ht="53.25" customHeight="1">
      <c r="A16" s="1831"/>
      <c r="B16" s="1832"/>
      <c r="C16" s="1832"/>
      <c r="D16" s="1832"/>
      <c r="E16" s="1832"/>
      <c r="F16" s="1832"/>
      <c r="G16" s="1832"/>
      <c r="H16" s="1832"/>
      <c r="I16" s="1833"/>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1433</v>
      </c>
      <c r="D18" s="839" t="s">
        <v>1434</v>
      </c>
      <c r="E18" s="843" t="s">
        <v>1435</v>
      </c>
      <c r="F18" s="1819" t="s">
        <v>1436</v>
      </c>
      <c r="G18" s="1820"/>
      <c r="H18" s="1200" t="s">
        <v>1712</v>
      </c>
      <c r="I18" s="851" t="s">
        <v>1437</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1438</v>
      </c>
      <c r="F19" s="1821" t="s">
        <v>1439</v>
      </c>
      <c r="G19" s="1822"/>
      <c r="H19" s="847">
        <v>4</v>
      </c>
      <c r="I19" s="848" t="s">
        <v>1440</v>
      </c>
      <c r="K19" s="808"/>
      <c r="L19" s="808"/>
      <c r="M19" s="74"/>
      <c r="N19" s="808"/>
      <c r="O19" s="808"/>
      <c r="P19" s="808"/>
      <c r="Q19" s="808"/>
      <c r="R19" s="808"/>
      <c r="S19" s="808"/>
      <c r="T19" s="808"/>
      <c r="U19" s="808"/>
    </row>
    <row r="20" spans="1:21" s="507" customFormat="1" ht="27.95" customHeight="1" thickBot="1">
      <c r="B20" s="396">
        <v>1</v>
      </c>
      <c r="C20" s="849">
        <v>5</v>
      </c>
      <c r="D20" s="849">
        <v>30</v>
      </c>
      <c r="E20" s="850" t="s">
        <v>1895</v>
      </c>
      <c r="F20" s="1834" t="s">
        <v>1896</v>
      </c>
      <c r="G20" s="1835"/>
      <c r="H20" s="849">
        <v>2</v>
      </c>
      <c r="I20" s="852" t="s">
        <v>1897</v>
      </c>
      <c r="K20" s="841" t="str">
        <f>IF(AND(A20&lt;&gt;0,A20=""),"×","○")</f>
        <v>○</v>
      </c>
      <c r="L20" s="808"/>
      <c r="M20" s="74"/>
      <c r="N20" s="333">
        <v>0</v>
      </c>
      <c r="O20" s="334">
        <v>20</v>
      </c>
      <c r="P20" s="808"/>
      <c r="Q20" s="808"/>
      <c r="R20" s="808"/>
      <c r="S20" s="808"/>
      <c r="T20" s="808"/>
      <c r="U20" s="808"/>
    </row>
    <row r="21" spans="1:21" s="507" customFormat="1" ht="27.95" customHeight="1" thickBot="1">
      <c r="B21" s="804">
        <v>2</v>
      </c>
      <c r="C21" s="849"/>
      <c r="D21" s="849"/>
      <c r="E21" s="850"/>
      <c r="F21" s="1834"/>
      <c r="G21" s="1835"/>
      <c r="H21" s="849"/>
      <c r="I21" s="852"/>
      <c r="K21" s="808"/>
      <c r="L21" s="808"/>
      <c r="M21" s="74"/>
      <c r="N21" s="333">
        <v>0</v>
      </c>
      <c r="O21" s="334">
        <v>20</v>
      </c>
      <c r="P21" s="808"/>
      <c r="Q21" s="808"/>
      <c r="R21" s="808"/>
      <c r="S21" s="808"/>
      <c r="T21" s="808"/>
      <c r="U21" s="808"/>
    </row>
    <row r="22" spans="1:21" s="507" customFormat="1" ht="27.95" customHeight="1" thickBot="1">
      <c r="B22" s="814">
        <v>3</v>
      </c>
      <c r="C22" s="849"/>
      <c r="D22" s="849"/>
      <c r="E22" s="850"/>
      <c r="F22" s="1834"/>
      <c r="G22" s="1835"/>
      <c r="H22" s="849"/>
      <c r="I22" s="852"/>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34"/>
      <c r="G23" s="1835"/>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34"/>
      <c r="G24" s="1835"/>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34"/>
      <c r="G25" s="1835"/>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34"/>
      <c r="G26" s="1835"/>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34"/>
      <c r="G27" s="1835"/>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34"/>
      <c r="G28" s="1835"/>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34"/>
      <c r="G29" s="1835"/>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34"/>
      <c r="G30" s="1835"/>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34"/>
      <c r="G31" s="1835"/>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34"/>
      <c r="G32" s="1835"/>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sqref="A1:K1"/>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38" t="s">
        <v>1639</v>
      </c>
      <c r="B1" s="1838"/>
      <c r="C1" s="1838"/>
      <c r="D1" s="1838"/>
      <c r="E1" s="1838"/>
      <c r="F1" s="1838"/>
      <c r="G1" s="1838"/>
      <c r="H1" s="1838"/>
      <c r="I1" s="1838"/>
      <c r="J1" s="1838"/>
      <c r="K1" s="1838"/>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7" t="s">
        <v>1205</v>
      </c>
      <c r="C2" s="1277"/>
      <c r="D2" s="1277"/>
      <c r="E2" s="1277"/>
      <c r="F2" s="1277"/>
      <c r="G2" s="1277"/>
      <c r="H2" s="1277"/>
      <c r="I2" s="1277"/>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36" t="s">
        <v>1722</v>
      </c>
      <c r="B3" s="1837"/>
      <c r="C3" s="1837"/>
      <c r="D3" s="1837"/>
      <c r="E3" s="1837"/>
      <c r="F3" s="1837"/>
      <c r="G3" s="1837"/>
      <c r="H3" s="1837"/>
      <c r="I3" s="1837"/>
      <c r="J3" s="1837"/>
      <c r="K3" s="1837"/>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73" t="s">
        <v>1351</v>
      </c>
      <c r="B4" s="1858" t="s">
        <v>1352</v>
      </c>
      <c r="C4" s="1875"/>
      <c r="D4" s="858" t="s">
        <v>1353</v>
      </c>
      <c r="E4" s="859" t="s">
        <v>1713</v>
      </c>
      <c r="F4" s="1876" t="s">
        <v>1448</v>
      </c>
      <c r="G4" s="1876"/>
      <c r="H4" s="1876"/>
      <c r="I4" s="1876"/>
      <c r="J4" s="1876"/>
      <c r="K4" s="1876"/>
      <c r="L4" s="1876"/>
      <c r="M4" s="1876"/>
      <c r="N4" s="1876"/>
      <c r="O4" s="1876"/>
      <c r="P4" s="1876"/>
      <c r="Q4" s="1876"/>
      <c r="R4" s="1876"/>
      <c r="S4" s="1876"/>
      <c r="T4" s="1876"/>
      <c r="U4" s="1876"/>
      <c r="V4" s="1876"/>
      <c r="W4" s="1876"/>
      <c r="X4" s="1876"/>
      <c r="Y4" s="1876"/>
      <c r="Z4" s="1876"/>
      <c r="AA4" s="1876"/>
      <c r="AB4" s="1876"/>
      <c r="AC4" s="1876"/>
      <c r="AD4" s="1876"/>
      <c r="AE4" s="1876"/>
      <c r="AF4" s="1876"/>
      <c r="AG4" s="1876"/>
      <c r="AH4" s="1876"/>
      <c r="AI4" s="1876"/>
      <c r="AJ4" s="1876"/>
      <c r="AK4" s="859"/>
      <c r="AL4" s="1877" t="s">
        <v>1354</v>
      </c>
      <c r="AM4" s="1859"/>
      <c r="AN4" s="1859"/>
      <c r="AO4" s="1859"/>
      <c r="AP4" s="1859"/>
      <c r="AQ4" s="1859"/>
      <c r="AR4" s="1859"/>
      <c r="AS4" s="1859"/>
      <c r="AT4" s="1859"/>
      <c r="AU4" s="1859"/>
      <c r="AV4" s="1859"/>
      <c r="AW4" s="1859"/>
      <c r="AX4" s="1859"/>
      <c r="AY4" s="1859"/>
      <c r="AZ4" s="1859"/>
      <c r="BA4" s="1860"/>
      <c r="BB4" s="860" t="s">
        <v>826</v>
      </c>
      <c r="BC4" s="1856" t="s">
        <v>1355</v>
      </c>
      <c r="BD4" s="1857"/>
      <c r="BE4" s="1857"/>
      <c r="BF4" s="1857"/>
      <c r="BG4" s="861" t="s">
        <v>1356</v>
      </c>
      <c r="BH4" s="1858" t="s">
        <v>1357</v>
      </c>
      <c r="BI4" s="1859"/>
      <c r="BJ4" s="1859"/>
      <c r="BK4" s="1860"/>
      <c r="BL4" s="862" t="s">
        <v>1358</v>
      </c>
    </row>
    <row r="5" spans="1:64" s="863" customFormat="1" ht="66.75" customHeight="1" thickTop="1" thickBot="1">
      <c r="A5" s="1874"/>
      <c r="B5" s="1861" t="s">
        <v>1449</v>
      </c>
      <c r="C5" s="1863" t="s">
        <v>1450</v>
      </c>
      <c r="D5" s="1863" t="s">
        <v>1359</v>
      </c>
      <c r="E5" s="1869" t="s">
        <v>223</v>
      </c>
      <c r="F5" s="1863" t="s">
        <v>1451</v>
      </c>
      <c r="G5" s="1866" t="s">
        <v>1360</v>
      </c>
      <c r="H5" s="1850"/>
      <c r="I5" s="1867"/>
      <c r="J5" s="1868" t="s">
        <v>1361</v>
      </c>
      <c r="K5" s="1869"/>
      <c r="L5" s="1869"/>
      <c r="M5" s="1869"/>
      <c r="N5" s="1870"/>
      <c r="O5" s="1868" t="s">
        <v>1362</v>
      </c>
      <c r="P5" s="1869"/>
      <c r="Q5" s="1869"/>
      <c r="R5" s="1870"/>
      <c r="S5" s="1868" t="s">
        <v>1363</v>
      </c>
      <c r="T5" s="1869"/>
      <c r="U5" s="1869"/>
      <c r="V5" s="1869"/>
      <c r="W5" s="1870"/>
      <c r="X5" s="1866" t="s">
        <v>1364</v>
      </c>
      <c r="Y5" s="1850"/>
      <c r="Z5" s="1850"/>
      <c r="AA5" s="1850"/>
      <c r="AB5" s="1878"/>
      <c r="AC5" s="1866" t="s">
        <v>1452</v>
      </c>
      <c r="AD5" s="1850"/>
      <c r="AE5" s="864"/>
      <c r="AF5" s="1879" t="s">
        <v>1453</v>
      </c>
      <c r="AG5" s="1880"/>
      <c r="AH5" s="1177" t="s">
        <v>1454</v>
      </c>
      <c r="AI5" s="1852" t="s">
        <v>1455</v>
      </c>
      <c r="AJ5" s="1852"/>
      <c r="AK5" s="1176"/>
      <c r="AL5" s="1847" t="s">
        <v>1365</v>
      </c>
      <c r="AM5" s="1849" t="s">
        <v>1366</v>
      </c>
      <c r="AN5" s="1850"/>
      <c r="AO5" s="1850"/>
      <c r="AP5" s="1850"/>
      <c r="AQ5" s="1850"/>
      <c r="AR5" s="1850"/>
      <c r="AS5" s="1851"/>
      <c r="AT5" s="1849" t="s">
        <v>1367</v>
      </c>
      <c r="AU5" s="1850"/>
      <c r="AV5" s="1850"/>
      <c r="AW5" s="1850"/>
      <c r="AX5" s="1850"/>
      <c r="AY5" s="1850"/>
      <c r="AZ5" s="1850"/>
      <c r="BA5" s="1851"/>
      <c r="BB5" s="1180" t="s">
        <v>1368</v>
      </c>
      <c r="BC5" s="1852" t="s">
        <v>1369</v>
      </c>
      <c r="BD5" s="1852" t="s">
        <v>1370</v>
      </c>
      <c r="BE5" s="1852"/>
      <c r="BF5" s="1852"/>
      <c r="BG5" s="1854" t="s">
        <v>1456</v>
      </c>
      <c r="BH5" s="1866" t="s">
        <v>1457</v>
      </c>
      <c r="BI5" s="1867"/>
      <c r="BJ5" s="1866" t="s">
        <v>1458</v>
      </c>
      <c r="BK5" s="1850"/>
      <c r="BL5" s="1839" t="s">
        <v>1371</v>
      </c>
    </row>
    <row r="6" spans="1:64" s="863" customFormat="1" ht="86.25">
      <c r="A6" s="1874"/>
      <c r="B6" s="1862"/>
      <c r="C6" s="1864"/>
      <c r="D6" s="1864"/>
      <c r="E6" s="1871"/>
      <c r="F6" s="1865"/>
      <c r="G6" s="1841" t="s">
        <v>1372</v>
      </c>
      <c r="H6" s="1841" t="s">
        <v>1459</v>
      </c>
      <c r="I6" s="1843"/>
      <c r="J6" s="865" t="s">
        <v>1374</v>
      </c>
      <c r="K6" s="1841" t="s">
        <v>1375</v>
      </c>
      <c r="L6" s="1843"/>
      <c r="M6" s="865" t="s">
        <v>1376</v>
      </c>
      <c r="N6" s="865" t="s">
        <v>1377</v>
      </c>
      <c r="O6" s="865" t="s">
        <v>1378</v>
      </c>
      <c r="P6" s="1841" t="s">
        <v>1379</v>
      </c>
      <c r="Q6" s="1843"/>
      <c r="R6" s="865" t="s">
        <v>1380</v>
      </c>
      <c r="S6" s="865" t="s">
        <v>1378</v>
      </c>
      <c r="T6" s="1841" t="s">
        <v>1381</v>
      </c>
      <c r="U6" s="1843"/>
      <c r="V6" s="865" t="s">
        <v>1382</v>
      </c>
      <c r="W6" s="865" t="s">
        <v>1383</v>
      </c>
      <c r="X6" s="865" t="s">
        <v>1384</v>
      </c>
      <c r="Y6" s="865" t="s">
        <v>1385</v>
      </c>
      <c r="Z6" s="865" t="s">
        <v>1386</v>
      </c>
      <c r="AA6" s="865" t="s">
        <v>1387</v>
      </c>
      <c r="AB6" s="865" t="s">
        <v>1460</v>
      </c>
      <c r="AC6" s="865" t="s">
        <v>1461</v>
      </c>
      <c r="AD6" s="1842" t="s">
        <v>1462</v>
      </c>
      <c r="AE6" s="1844"/>
      <c r="AF6" s="866" t="s">
        <v>1372</v>
      </c>
      <c r="AG6" s="866" t="s">
        <v>1373</v>
      </c>
      <c r="AH6" s="866" t="s">
        <v>1372</v>
      </c>
      <c r="AI6" s="867" t="s">
        <v>1461</v>
      </c>
      <c r="AJ6" s="1845" t="s">
        <v>1462</v>
      </c>
      <c r="AK6" s="1846"/>
      <c r="AL6" s="1848"/>
      <c r="AM6" s="1172" t="s">
        <v>1388</v>
      </c>
      <c r="AN6" s="865" t="s">
        <v>1389</v>
      </c>
      <c r="AO6" s="865" t="s">
        <v>1390</v>
      </c>
      <c r="AP6" s="865" t="s">
        <v>1391</v>
      </c>
      <c r="AQ6" s="865" t="s">
        <v>1392</v>
      </c>
      <c r="AR6" s="865" t="s">
        <v>1393</v>
      </c>
      <c r="AS6" s="865" t="s">
        <v>1394</v>
      </c>
      <c r="AT6" s="865" t="s">
        <v>1395</v>
      </c>
      <c r="AU6" s="865" t="s">
        <v>1396</v>
      </c>
      <c r="AV6" s="865" t="s">
        <v>1397</v>
      </c>
      <c r="AW6" s="865" t="s">
        <v>1398</v>
      </c>
      <c r="AX6" s="1171" t="s">
        <v>1463</v>
      </c>
      <c r="AY6" s="1171" t="s">
        <v>1399</v>
      </c>
      <c r="AZ6" s="1171" t="s">
        <v>1464</v>
      </c>
      <c r="BA6" s="1171" t="s">
        <v>1465</v>
      </c>
      <c r="BB6" s="868"/>
      <c r="BC6" s="1853"/>
      <c r="BD6" s="1178" t="s">
        <v>1400</v>
      </c>
      <c r="BE6" s="1178" t="s">
        <v>1401</v>
      </c>
      <c r="BF6" s="869" t="s">
        <v>1402</v>
      </c>
      <c r="BG6" s="1855"/>
      <c r="BH6" s="866" t="s">
        <v>1466</v>
      </c>
      <c r="BI6" s="866" t="s">
        <v>1467</v>
      </c>
      <c r="BJ6" s="866" t="s">
        <v>1468</v>
      </c>
      <c r="BK6" s="1173" t="s">
        <v>1467</v>
      </c>
      <c r="BL6" s="1840"/>
    </row>
    <row r="7" spans="1:64" s="863" customFormat="1" ht="51.75">
      <c r="A7" s="1179"/>
      <c r="B7" s="864"/>
      <c r="C7" s="864"/>
      <c r="D7" s="864"/>
      <c r="E7" s="1872"/>
      <c r="F7" s="864"/>
      <c r="G7" s="1842"/>
      <c r="H7" s="1174"/>
      <c r="I7" s="1181" t="s">
        <v>1469</v>
      </c>
      <c r="J7" s="866"/>
      <c r="K7" s="1175"/>
      <c r="L7" s="1181" t="s">
        <v>1469</v>
      </c>
      <c r="M7" s="1175"/>
      <c r="N7" s="1175"/>
      <c r="O7" s="1175"/>
      <c r="P7" s="1175"/>
      <c r="Q7" s="1181" t="s">
        <v>1469</v>
      </c>
      <c r="R7" s="1175"/>
      <c r="S7" s="1175"/>
      <c r="T7" s="1175"/>
      <c r="U7" s="1181" t="s">
        <v>1469</v>
      </c>
      <c r="V7" s="1175"/>
      <c r="W7" s="1175"/>
      <c r="X7" s="1175"/>
      <c r="Y7" s="1175"/>
      <c r="Z7" s="1175"/>
      <c r="AA7" s="1175"/>
      <c r="AB7" s="1175"/>
      <c r="AC7" s="1175"/>
      <c r="AD7" s="1175"/>
      <c r="AE7" s="1181" t="s">
        <v>1469</v>
      </c>
      <c r="AF7" s="1175"/>
      <c r="AG7" s="1175"/>
      <c r="AH7" s="1175"/>
      <c r="AI7" s="1182"/>
      <c r="AJ7" s="1175"/>
      <c r="AK7" s="1181" t="s">
        <v>1469</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社会医療法人生長会　ベルランド総合病院</v>
      </c>
      <c r="B8" s="1184">
        <f>'様式4（全般事項）'!R209</f>
        <v>30646</v>
      </c>
      <c r="C8" s="1185">
        <f>'様式4（全般事項）'!R210</f>
        <v>18.403795339899112</v>
      </c>
      <c r="D8" s="1184">
        <f>'様式４(機能別)'!J212</f>
        <v>1314</v>
      </c>
      <c r="E8" s="1184">
        <f>'様式4（全般事項）'!R28</f>
        <v>477</v>
      </c>
      <c r="F8" s="1184">
        <f>'様式４(機能別)'!J213</f>
        <v>896</v>
      </c>
      <c r="G8" s="1184">
        <f>'様式4（全般事項）'!R231</f>
        <v>9</v>
      </c>
      <c r="H8" s="1184">
        <f>'様式4（全般事項）'!R232</f>
        <v>85</v>
      </c>
      <c r="I8" s="1184">
        <f>'様式4（全般事項）'!R233</f>
        <v>65</v>
      </c>
      <c r="J8" s="1184">
        <f>'様式4（全般事項）'!R235</f>
        <v>1</v>
      </c>
      <c r="K8" s="1184">
        <f>'様式4（全般事項）'!R236</f>
        <v>45</v>
      </c>
      <c r="L8" s="1184">
        <f>'様式4（全般事項）'!R237</f>
        <v>45</v>
      </c>
      <c r="M8" s="1184">
        <f>'様式4（全般事項）'!R238</f>
        <v>39</v>
      </c>
      <c r="N8" s="1184">
        <f>'様式4（全般事項）'!R239</f>
        <v>53</v>
      </c>
      <c r="O8" s="1184">
        <f>'様式4（全般事項）'!R226</f>
        <v>8</v>
      </c>
      <c r="P8" s="1184">
        <f>'様式4（全般事項）'!R227</f>
        <v>136</v>
      </c>
      <c r="Q8" s="1184">
        <f>'様式4（全般事項）'!R228</f>
        <v>85</v>
      </c>
      <c r="R8" s="1184">
        <f>'様式4（全般事項）'!R229</f>
        <v>84</v>
      </c>
      <c r="S8" s="1184">
        <f>'様式4（全般事項）'!R251</f>
        <v>7</v>
      </c>
      <c r="T8" s="1184">
        <f>'様式4（全般事項）'!R252</f>
        <v>5</v>
      </c>
      <c r="U8" s="1184">
        <f>'様式4（全般事項）'!R253</f>
        <v>5</v>
      </c>
      <c r="V8" s="1184">
        <f>'様式4（全般事項）'!R254</f>
        <v>0</v>
      </c>
      <c r="W8" s="1184">
        <f>'様式4（全般事項）'!R255</f>
        <v>11</v>
      </c>
      <c r="X8" s="1184">
        <f>'様式4（全般事項）'!R241</f>
        <v>160</v>
      </c>
      <c r="Y8" s="1184">
        <f>'様式4（全般事項）'!R242</f>
        <v>0</v>
      </c>
      <c r="Z8" s="1184">
        <f>'様式4（全般事項）'!R243</f>
        <v>4</v>
      </c>
      <c r="AA8" s="1184">
        <f>'様式4（全般事項）'!R244</f>
        <v>6</v>
      </c>
      <c r="AB8" s="1184">
        <f>'様式4（全般事項）'!R245</f>
        <v>5</v>
      </c>
      <c r="AC8" s="1184">
        <f>'様式4（全般事項）'!R247</f>
        <v>0</v>
      </c>
      <c r="AD8" s="1184">
        <f>'様式4（全般事項）'!R248</f>
        <v>76</v>
      </c>
      <c r="AE8" s="1184">
        <f>'様式4（全般事項）'!R249</f>
        <v>76</v>
      </c>
      <c r="AF8" s="1184">
        <f>'様式4（全般事項）'!R257</f>
        <v>3</v>
      </c>
      <c r="AG8" s="1184">
        <f>'様式4（全般事項）'!R258</f>
        <v>0</v>
      </c>
      <c r="AH8" s="1184">
        <f>'様式4（全般事項）'!R260</f>
        <v>2</v>
      </c>
      <c r="AI8" s="1184">
        <f>'様式4（全般事項）'!R262</f>
        <v>8</v>
      </c>
      <c r="AJ8" s="1184">
        <f>'様式4（全般事項）'!R263</f>
        <v>3</v>
      </c>
      <c r="AK8" s="1184">
        <f>'様式4（全般事項）'!R264</f>
        <v>2</v>
      </c>
      <c r="AL8" s="1186">
        <v>230</v>
      </c>
      <c r="AM8" s="1184">
        <f>'様式4（全般事項）'!R268</f>
        <v>242</v>
      </c>
      <c r="AN8" s="1184">
        <f>'様式4（全般事項）'!R269</f>
        <v>4</v>
      </c>
      <c r="AO8" s="1184">
        <f>'様式4（全般事項）'!R270</f>
        <v>17</v>
      </c>
      <c r="AP8" s="1184">
        <f>'様式4（全般事項）'!R271</f>
        <v>0</v>
      </c>
      <c r="AQ8" s="1184">
        <f>'様式4（全般事項）'!R272</f>
        <v>0</v>
      </c>
      <c r="AR8" s="1184">
        <f>'様式4（全般事項）'!R273</f>
        <v>0</v>
      </c>
      <c r="AS8" s="1184">
        <f>'様式4（全般事項）'!R274</f>
        <v>0</v>
      </c>
      <c r="AT8" s="1184">
        <f>'様式4（全般事項）'!R277</f>
        <v>69</v>
      </c>
      <c r="AU8" s="1184">
        <f>'様式4（全般事項）'!R278</f>
        <v>2</v>
      </c>
      <c r="AV8" s="1184">
        <f>'様式4（全般事項）'!R279</f>
        <v>3</v>
      </c>
      <c r="AW8" s="1184">
        <f>'様式4（全般事項）'!R280</f>
        <v>15</v>
      </c>
      <c r="AX8" s="1184">
        <f>'様式4（全般事項）'!R283</f>
        <v>1</v>
      </c>
      <c r="AY8" s="1184">
        <f>'様式4（全般事項）'!R284</f>
        <v>1</v>
      </c>
      <c r="AZ8" s="1184">
        <f>'様式4（全般事項）'!R281</f>
        <v>97</v>
      </c>
      <c r="BA8" s="1184">
        <f>'様式4（全般事項）'!R282</f>
        <v>4</v>
      </c>
      <c r="BB8" s="1184">
        <f>'様式４(機能別)'!J214</f>
        <v>599</v>
      </c>
      <c r="BC8" s="1184">
        <f>'様式４(機能別)'!J216</f>
        <v>125</v>
      </c>
      <c r="BD8" s="1184">
        <f>'様式4（全般事項）'!R286</f>
        <v>113</v>
      </c>
      <c r="BE8" s="1184">
        <f>'様式4（全般事項）'!R287</f>
        <v>17</v>
      </c>
      <c r="BF8" s="1184">
        <f>'様式4（全般事項）'!R288</f>
        <v>11</v>
      </c>
      <c r="BG8" s="1184">
        <f>別紙11相談内容!C8</f>
        <v>842</v>
      </c>
      <c r="BH8" s="1186">
        <v>83</v>
      </c>
      <c r="BI8" s="1184">
        <f>BH8*12</f>
        <v>996</v>
      </c>
      <c r="BJ8" s="1186">
        <v>52</v>
      </c>
      <c r="BK8" s="1184">
        <f>BJ8*12</f>
        <v>624</v>
      </c>
      <c r="BL8" s="1185">
        <f>'様式４(機能別)'!J217</f>
        <v>16</v>
      </c>
    </row>
    <row r="9" spans="1:64" ht="76.150000000000006" customHeight="1" thickBot="1">
      <c r="A9" s="991">
        <v>34</v>
      </c>
      <c r="B9" s="1184">
        <f>IFERROR(VLOOKUP(別紙22診療実績とりまとめ!$A$9,前年度診療実績!$A$7:$BL$70,3,TRUE),"")</f>
        <v>2701</v>
      </c>
      <c r="C9" s="1201">
        <f>IFERROR(VLOOKUP(別紙22診療実績とりまとめ!$A$9,前年度診療実績!$A$7:$BL$70,4,TRUE),"")</f>
        <v>19.643636363636364</v>
      </c>
      <c r="D9" s="1184">
        <f>IFERROR(VLOOKUP(別紙22診療実績とりまとめ!$A$9,前年度診療実績!$A$7:$BL$70,5,TRUE),"")</f>
        <v>1314</v>
      </c>
      <c r="E9" s="1184"/>
      <c r="F9" s="1184">
        <f>IFERROR(VLOOKUP(別紙22診療実績とりまとめ!$A$9,前年度診療実績!$A$7:$BL$70,6,TRUE),"")</f>
        <v>896</v>
      </c>
      <c r="G9" s="1184">
        <f>IFERROR(VLOOKUP(別紙22診療実績とりまとめ!$A$9,前年度診療実績!$A$7:$BL$70,7,TRUE),"")</f>
        <v>14</v>
      </c>
      <c r="H9" s="1184">
        <f>IFERROR(VLOOKUP(別紙22診療実績とりまとめ!$A$9,前年度診療実績!$A$7:$BL$70,8,TRUE),"")</f>
        <v>89</v>
      </c>
      <c r="I9" s="1184">
        <f>IFERROR(VLOOKUP(別紙22診療実績とりまとめ!$A$9,前年度診療実績!$A$7:$BL$70,9,TRUE),"")</f>
        <v>36</v>
      </c>
      <c r="J9" s="1184">
        <f>IFERROR(VLOOKUP(別紙22診療実績とりまとめ!$A$9,前年度診療実績!$A$7:$BL$70,10,TRUE),"")</f>
        <v>1</v>
      </c>
      <c r="K9" s="1184">
        <f>IFERROR(VLOOKUP(別紙22診療実績とりまとめ!$A$9,前年度診療実績!$A$7:$BL$70,11,TRUE),"")</f>
        <v>47</v>
      </c>
      <c r="L9" s="1184">
        <f>IFERROR(VLOOKUP(別紙22診療実績とりまとめ!$A$9,前年度診療実績!$A$7:$BL$70,12,TRUE),"")</f>
        <v>40</v>
      </c>
      <c r="M9" s="1184">
        <f>IFERROR(VLOOKUP(別紙22診療実績とりまとめ!$A$9,前年度診療実績!$A$7:$BL$70,13,TRUE),"")</f>
        <v>33</v>
      </c>
      <c r="N9" s="1184">
        <f>IFERROR(VLOOKUP(別紙22診療実績とりまとめ!$A$9,前年度診療実績!$A$7:$BL$70,14,TRUE),"")</f>
        <v>75</v>
      </c>
      <c r="O9" s="1184">
        <f>IFERROR(VLOOKUP(別紙22診療実績とりまとめ!$A$9,前年度診療実績!$A$7:$BL$70,15,TRUE),"")</f>
        <v>23</v>
      </c>
      <c r="P9" s="1184">
        <f>IFERROR(VLOOKUP(別紙22診療実績とりまとめ!$A$9,前年度診療実績!$A$7:$BL$70,16,TRUE),"")</f>
        <v>152</v>
      </c>
      <c r="Q9" s="1184">
        <f>IFERROR(VLOOKUP(別紙22診療実績とりまとめ!$A$9,前年度診療実績!$A$7:$BL$70,17,TRUE),"")</f>
        <v>91</v>
      </c>
      <c r="R9" s="1184">
        <f>IFERROR(VLOOKUP(別紙22診療実績とりまとめ!$A$9,前年度診療実績!$A$7:$BL$70,18,TRUE),"")</f>
        <v>82</v>
      </c>
      <c r="S9" s="1184">
        <f>IFERROR(VLOOKUP(別紙22診療実績とりまとめ!$A$9,前年度診療実績!$A$7:$BL$70,19,TRUE),"")</f>
        <v>8</v>
      </c>
      <c r="T9" s="1184">
        <f>IFERROR(VLOOKUP(別紙22診療実績とりまとめ!$A$9,前年度診療実績!$A$7:$BL$70,20,TRUE),"")</f>
        <v>13</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12</v>
      </c>
      <c r="X9" s="1184">
        <f>IFERROR(VLOOKUP(別紙22診療実績とりまとめ!$A$9,前年度診療実績!$A$7:$BL$70,24,TRUE),"")</f>
        <v>143</v>
      </c>
      <c r="Y9" s="1184">
        <f>IFERROR(VLOOKUP(別紙22診療実績とりまとめ!$A$9,前年度診療実績!$A$7:$BL$70,25,TRUE),"")</f>
        <v>0</v>
      </c>
      <c r="Z9" s="1184">
        <f>IFERROR(VLOOKUP(別紙22診療実績とりまとめ!$A$9,前年度診療実績!$A$7:$BL$70,26,TRUE),"")</f>
        <v>17</v>
      </c>
      <c r="AA9" s="1184">
        <f>IFERROR(VLOOKUP(別紙22診療実績とりまとめ!$A$9,前年度診療実績!$A$7:$BL$70,27,TRUE),"")</f>
        <v>21</v>
      </c>
      <c r="AB9" s="1184">
        <f>IFERROR(VLOOKUP(別紙22診療実績とりまとめ!$A$9,前年度診療実績!$A$7:$BL$70,28,TRUE),"")</f>
        <v>1</v>
      </c>
      <c r="AC9" s="1184">
        <f>IFERROR(VLOOKUP(別紙22診療実績とりまとめ!$A$9,前年度診療実績!$A$7:$BL$70,29,TRUE),"")</f>
        <v>0</v>
      </c>
      <c r="AD9" s="1184">
        <f>IFERROR(VLOOKUP(別紙22診療実績とりまとめ!$A$9,前年度診療実績!$A$7:$BL$70,30,TRUE),"")</f>
        <v>60</v>
      </c>
      <c r="AE9" s="1184">
        <f>IFERROR(VLOOKUP(別紙22診療実績とりまとめ!$A$9,前年度診療実績!$A$7:$BL$70,31,TRUE),"")</f>
        <v>60</v>
      </c>
      <c r="AF9" s="1184">
        <f>IFERROR(VLOOKUP(別紙22診療実績とりまとめ!$A$9,前年度診療実績!$A$7:$BL$70,32,TRUE),"")</f>
        <v>4</v>
      </c>
      <c r="AG9" s="1184">
        <f>IFERROR(VLOOKUP(別紙22診療実績とりまとめ!$A$9,前年度診療実績!$A$7:$BL$70,33,TRUE),"")</f>
        <v>0</v>
      </c>
      <c r="AH9" s="1184">
        <f>IFERROR(VLOOKUP(別紙22診療実績とりまとめ!$A$9,前年度診療実績!$A$7:$BL$70,34,TRUE),"")</f>
        <v>2</v>
      </c>
      <c r="AI9" s="1184">
        <f>IFERROR(VLOOKUP(別紙22診療実績とりまとめ!$A$9,前年度診療実績!$A$7:$BL$70,35,TRUE),"")</f>
        <v>15</v>
      </c>
      <c r="AJ9" s="1184">
        <f>IFERROR(VLOOKUP(別紙22診療実績とりまとめ!$A$9,前年度診療実績!$A$7:$BL$70,36,TRUE),"")</f>
        <v>8</v>
      </c>
      <c r="AK9" s="1184">
        <f>IFERROR(VLOOKUP(別紙22診療実績とりまとめ!$A$9,前年度診療実績!$A$7:$BL$70,37,TRUE),"")</f>
        <v>1</v>
      </c>
      <c r="AL9" s="1184">
        <f>IFERROR(VLOOKUP(別紙22診療実績とりまとめ!$A$9,前年度診療実績!$A$7:$BL$70,38,TRUE),"")</f>
        <v>259</v>
      </c>
      <c r="AM9" s="1184">
        <f>IFERROR(VLOOKUP(別紙22診療実績とりまとめ!$A$9,前年度診療実績!$A$7:$BL$70,39,TRUE),"")</f>
        <v>259</v>
      </c>
      <c r="AN9" s="1184">
        <f>IFERROR(VLOOKUP(別紙22診療実績とりまとめ!$A$9,前年度診療実績!$A$7:$BL$70,40,TRUE),"")</f>
        <v>4</v>
      </c>
      <c r="AO9" s="1184">
        <f>IFERROR(VLOOKUP(別紙22診療実績とりまとめ!$A$9,前年度診療実績!$A$7:$BL$70,41,TRUE),"")</f>
        <v>17</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79</v>
      </c>
      <c r="AU9" s="1184">
        <f>IFERROR(VLOOKUP(別紙22診療実績とりまとめ!$A$9,前年度診療実績!$A$7:$BL$70,47,TRUE),"")</f>
        <v>5</v>
      </c>
      <c r="AV9" s="1184">
        <f>IFERROR(VLOOKUP(別紙22診療実績とりまとめ!$A$9,前年度診療実績!$A$7:$BL$70,48,TRUE),"")</f>
        <v>1</v>
      </c>
      <c r="AW9" s="1184">
        <f>IFERROR(VLOOKUP(別紙22診療実績とりまとめ!$A$9,前年度診療実績!$A$7:$BL$70,49,TRUE),"")</f>
        <v>14</v>
      </c>
      <c r="AX9" s="1184">
        <f>IFERROR(VLOOKUP(別紙22診療実績とりまとめ!$A$9,前年度診療実績!$A$7:$BL$70,50,TRUE),"")</f>
        <v>0</v>
      </c>
      <c r="AY9" s="1184">
        <f>IFERROR(VLOOKUP(別紙22診療実績とりまとめ!$A$9,前年度診療実績!$A$7:$BL$70,51,TRUE),"")</f>
        <v>2</v>
      </c>
      <c r="AZ9" s="1184">
        <f>IFERROR(VLOOKUP(別紙22診療実績とりまとめ!$A$9,前年度診療実績!$A$7:$BL$70,52,TRUE),"")</f>
        <v>69</v>
      </c>
      <c r="BA9" s="1184">
        <f>IFERROR(VLOOKUP(別紙22診療実績とりまとめ!$A$9,前年度診療実績!$A$7:$BL$70,53,TRUE),"")</f>
        <v>8</v>
      </c>
      <c r="BB9" s="1184">
        <f>IFERROR(VLOOKUP(別紙22診療実績とりまとめ!$A$9,前年度診療実績!$A$7:$BL$70,54,TRUE),"")</f>
        <v>673</v>
      </c>
      <c r="BC9" s="1184">
        <f>IFERROR(VLOOKUP(別紙22診療実績とりまとめ!$A$9,前年度診療実績!$A$7:$BL$70,55,TRUE),"")</f>
        <v>110</v>
      </c>
      <c r="BD9" s="1184">
        <f>IFERROR(VLOOKUP(別紙22診療実績とりまとめ!$A$9,前年度診療実績!$A$7:$BL$70,56,TRUE),"")</f>
        <v>101</v>
      </c>
      <c r="BE9" s="1184">
        <f>IFERROR(VLOOKUP(別紙22診療実績とりまとめ!$A$9,前年度診療実績!$A$7:$BL$70,57,TRUE),"")</f>
        <v>15</v>
      </c>
      <c r="BF9" s="1184">
        <f>IFERROR(VLOOKUP(別紙22診療実績とりまとめ!$A$9,前年度診療実績!$A$7:$BL$70,58,TRUE),"")</f>
        <v>19</v>
      </c>
      <c r="BG9" s="1184">
        <f>IFERROR(VLOOKUP(別紙22診療実績とりまとめ!$A$9,前年度診療実績!$A$7:$BL$70,59,TRUE),"")</f>
        <v>335</v>
      </c>
      <c r="BH9" s="1184">
        <f>IFERROR(VLOOKUP(別紙22診療実績とりまとめ!$A$9,前年度診療実績!$A$7:$BL$70,60,TRUE),"")</f>
        <v>96</v>
      </c>
      <c r="BI9" s="1184">
        <f>IFERROR(VLOOKUP(別紙22診療実績とりまとめ!$A$9,前年度診療実績!$A$7:$BL$70,61,TRUE),"")</f>
        <v>1152</v>
      </c>
      <c r="BJ9" s="1184">
        <f>IFERROR(VLOOKUP(別紙22診療実績とりまとめ!$A$9,前年度診療実績!$A$7:$BL$70,62,TRUE),"")</f>
        <v>81</v>
      </c>
      <c r="BK9" s="1184">
        <f>IFERROR(VLOOKUP(別紙22診療実績とりまとめ!$A$9,前年度診療実績!$A$7:$BL$70,63,TRUE),"")</f>
        <v>972</v>
      </c>
      <c r="BL9" s="1185">
        <f>IFERROR(VLOOKUP(別紙22診療実績とりまとめ!$A$9,前年度診療実績!$A$7:$BL$70,64,TRUE),"")</f>
        <v>14</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1" t="s">
        <v>1675</v>
      </c>
      <c r="B3" s="1885" t="s">
        <v>1351</v>
      </c>
      <c r="C3" s="1883" t="s">
        <v>1352</v>
      </c>
      <c r="D3" s="1886"/>
      <c r="E3" s="1157" t="s">
        <v>1353</v>
      </c>
      <c r="F3" s="1883" t="s">
        <v>1448</v>
      </c>
      <c r="G3" s="1883"/>
      <c r="H3" s="1883"/>
      <c r="I3" s="1883"/>
      <c r="J3" s="1883"/>
      <c r="K3" s="1883"/>
      <c r="L3" s="1883"/>
      <c r="M3" s="1883"/>
      <c r="N3" s="1883"/>
      <c r="O3" s="1883"/>
      <c r="P3" s="1883"/>
      <c r="Q3" s="1883"/>
      <c r="R3" s="1883"/>
      <c r="S3" s="1883"/>
      <c r="T3" s="1883"/>
      <c r="U3" s="1883"/>
      <c r="V3" s="1883"/>
      <c r="W3" s="1883"/>
      <c r="X3" s="1883"/>
      <c r="Y3" s="1883"/>
      <c r="Z3" s="1883"/>
      <c r="AA3" s="1883"/>
      <c r="AB3" s="1883"/>
      <c r="AC3" s="1883"/>
      <c r="AD3" s="1883"/>
      <c r="AE3" s="1883"/>
      <c r="AF3" s="1883"/>
      <c r="AG3" s="1883"/>
      <c r="AH3" s="1883"/>
      <c r="AI3" s="1883"/>
      <c r="AJ3" s="1883"/>
      <c r="AK3" s="1157"/>
      <c r="AL3" s="1883" t="s">
        <v>1354</v>
      </c>
      <c r="AM3" s="1883"/>
      <c r="AN3" s="1883"/>
      <c r="AO3" s="1883"/>
      <c r="AP3" s="1883"/>
      <c r="AQ3" s="1883"/>
      <c r="AR3" s="1883"/>
      <c r="AS3" s="1883"/>
      <c r="AT3" s="1883"/>
      <c r="AU3" s="1883"/>
      <c r="AV3" s="1883"/>
      <c r="AW3" s="1883"/>
      <c r="AX3" s="1883"/>
      <c r="AY3" s="1883"/>
      <c r="AZ3" s="1883"/>
      <c r="BA3" s="1883"/>
      <c r="BB3" s="1157" t="s">
        <v>826</v>
      </c>
      <c r="BC3" s="1883" t="s">
        <v>1355</v>
      </c>
      <c r="BD3" s="1883"/>
      <c r="BE3" s="1883"/>
      <c r="BF3" s="1883"/>
      <c r="BG3" s="1157" t="s">
        <v>1356</v>
      </c>
      <c r="BH3" s="1883" t="s">
        <v>1357</v>
      </c>
      <c r="BI3" s="1883"/>
      <c r="BJ3" s="1883"/>
      <c r="BK3" s="1883"/>
      <c r="BL3" s="1157" t="s">
        <v>1608</v>
      </c>
    </row>
    <row r="4" spans="1:64" s="863" customFormat="1" ht="43.15" customHeight="1" thickBot="1">
      <c r="A4" s="1881"/>
      <c r="B4" s="1885"/>
      <c r="C4" s="1883" t="s">
        <v>1449</v>
      </c>
      <c r="D4" s="1883" t="s">
        <v>1450</v>
      </c>
      <c r="E4" s="1883" t="s">
        <v>1609</v>
      </c>
      <c r="F4" s="1883" t="s">
        <v>1610</v>
      </c>
      <c r="G4" s="1883" t="s">
        <v>1360</v>
      </c>
      <c r="H4" s="1883"/>
      <c r="I4" s="1883"/>
      <c r="J4" s="1883" t="s">
        <v>1361</v>
      </c>
      <c r="K4" s="1883"/>
      <c r="L4" s="1883"/>
      <c r="M4" s="1883"/>
      <c r="N4" s="1883"/>
      <c r="O4" s="1883" t="s">
        <v>1362</v>
      </c>
      <c r="P4" s="1883"/>
      <c r="Q4" s="1883"/>
      <c r="R4" s="1883"/>
      <c r="S4" s="1883" t="s">
        <v>1363</v>
      </c>
      <c r="T4" s="1883"/>
      <c r="U4" s="1883"/>
      <c r="V4" s="1883"/>
      <c r="W4" s="1883"/>
      <c r="X4" s="1883" t="s">
        <v>1364</v>
      </c>
      <c r="Y4" s="1883"/>
      <c r="Z4" s="1883"/>
      <c r="AA4" s="1883"/>
      <c r="AB4" s="1883"/>
      <c r="AC4" s="1883" t="s">
        <v>1452</v>
      </c>
      <c r="AD4" s="1883"/>
      <c r="AE4" s="1883"/>
      <c r="AF4" s="1883" t="s">
        <v>1453</v>
      </c>
      <c r="AG4" s="1883"/>
      <c r="AH4" s="1157" t="s">
        <v>1454</v>
      </c>
      <c r="AI4" s="1883" t="s">
        <v>1455</v>
      </c>
      <c r="AJ4" s="1883"/>
      <c r="AK4" s="1883"/>
      <c r="AL4" s="1883" t="s">
        <v>1365</v>
      </c>
      <c r="AM4" s="1883" t="s">
        <v>1366</v>
      </c>
      <c r="AN4" s="1883"/>
      <c r="AO4" s="1883"/>
      <c r="AP4" s="1883"/>
      <c r="AQ4" s="1883"/>
      <c r="AR4" s="1883"/>
      <c r="AS4" s="1883"/>
      <c r="AT4" s="1883" t="s">
        <v>1367</v>
      </c>
      <c r="AU4" s="1883"/>
      <c r="AV4" s="1883"/>
      <c r="AW4" s="1883"/>
      <c r="AX4" s="1883"/>
      <c r="AY4" s="1883"/>
      <c r="AZ4" s="1883"/>
      <c r="BA4" s="1883"/>
      <c r="BB4" s="1883" t="s">
        <v>1611</v>
      </c>
      <c r="BC4" s="1883" t="s">
        <v>1612</v>
      </c>
      <c r="BD4" s="1883" t="s">
        <v>1370</v>
      </c>
      <c r="BE4" s="1883"/>
      <c r="BF4" s="1883"/>
      <c r="BG4" s="1883" t="s">
        <v>1456</v>
      </c>
      <c r="BH4" s="1883" t="s">
        <v>1457</v>
      </c>
      <c r="BI4" s="1883"/>
      <c r="BJ4" s="1883" t="s">
        <v>1458</v>
      </c>
      <c r="BK4" s="1883"/>
      <c r="BL4" s="1884" t="s">
        <v>1613</v>
      </c>
    </row>
    <row r="5" spans="1:64" s="863" customFormat="1" ht="43.15" customHeight="1" thickBot="1">
      <c r="A5" s="1881"/>
      <c r="B5" s="1885"/>
      <c r="C5" s="1883"/>
      <c r="D5" s="1883"/>
      <c r="E5" s="1883"/>
      <c r="F5" s="1883"/>
      <c r="G5" s="1882" t="s">
        <v>1372</v>
      </c>
      <c r="H5" s="1882" t="s">
        <v>1459</v>
      </c>
      <c r="I5" s="1882"/>
      <c r="J5" s="1882" t="s">
        <v>1374</v>
      </c>
      <c r="K5" s="1882" t="s">
        <v>1375</v>
      </c>
      <c r="L5" s="1882"/>
      <c r="M5" s="1882" t="s">
        <v>1376</v>
      </c>
      <c r="N5" s="1882" t="s">
        <v>1377</v>
      </c>
      <c r="O5" s="1882" t="s">
        <v>1378</v>
      </c>
      <c r="P5" s="1882" t="s">
        <v>1379</v>
      </c>
      <c r="Q5" s="1882"/>
      <c r="R5" s="1882" t="s">
        <v>1380</v>
      </c>
      <c r="S5" s="1882" t="s">
        <v>1378</v>
      </c>
      <c r="T5" s="1882" t="s">
        <v>1381</v>
      </c>
      <c r="U5" s="1882"/>
      <c r="V5" s="1882" t="s">
        <v>1382</v>
      </c>
      <c r="W5" s="1882" t="s">
        <v>1383</v>
      </c>
      <c r="X5" s="1882" t="s">
        <v>1384</v>
      </c>
      <c r="Y5" s="1882" t="s">
        <v>1385</v>
      </c>
      <c r="Z5" s="1882" t="s">
        <v>1386</v>
      </c>
      <c r="AA5" s="1882" t="s">
        <v>1387</v>
      </c>
      <c r="AB5" s="1882" t="s">
        <v>1460</v>
      </c>
      <c r="AC5" s="1882" t="s">
        <v>1461</v>
      </c>
      <c r="AD5" s="1882" t="s">
        <v>1462</v>
      </c>
      <c r="AE5" s="1882"/>
      <c r="AF5" s="1882" t="s">
        <v>1372</v>
      </c>
      <c r="AG5" s="1882" t="s">
        <v>1373</v>
      </c>
      <c r="AH5" s="1882" t="s">
        <v>1372</v>
      </c>
      <c r="AI5" s="1882" t="s">
        <v>1461</v>
      </c>
      <c r="AJ5" s="1882" t="s">
        <v>1462</v>
      </c>
      <c r="AK5" s="1882"/>
      <c r="AL5" s="1883"/>
      <c r="AM5" s="1882" t="s">
        <v>1388</v>
      </c>
      <c r="AN5" s="1882" t="s">
        <v>1389</v>
      </c>
      <c r="AO5" s="1882" t="s">
        <v>1390</v>
      </c>
      <c r="AP5" s="1882" t="s">
        <v>1391</v>
      </c>
      <c r="AQ5" s="1882" t="s">
        <v>1392</v>
      </c>
      <c r="AR5" s="1882" t="s">
        <v>1393</v>
      </c>
      <c r="AS5" s="1882" t="s">
        <v>1394</v>
      </c>
      <c r="AT5" s="1882" t="s">
        <v>1395</v>
      </c>
      <c r="AU5" s="1882" t="s">
        <v>1396</v>
      </c>
      <c r="AV5" s="1882" t="s">
        <v>1397</v>
      </c>
      <c r="AW5" s="1882" t="s">
        <v>1398</v>
      </c>
      <c r="AX5" s="1882" t="s">
        <v>1463</v>
      </c>
      <c r="AY5" s="1882" t="s">
        <v>1399</v>
      </c>
      <c r="AZ5" s="1882" t="s">
        <v>1464</v>
      </c>
      <c r="BA5" s="1882" t="s">
        <v>1465</v>
      </c>
      <c r="BB5" s="1883"/>
      <c r="BC5" s="1883"/>
      <c r="BD5" s="1883" t="s">
        <v>1400</v>
      </c>
      <c r="BE5" s="1883" t="s">
        <v>1401</v>
      </c>
      <c r="BF5" s="1883" t="s">
        <v>1402</v>
      </c>
      <c r="BG5" s="1883"/>
      <c r="BH5" s="1882" t="s">
        <v>1466</v>
      </c>
      <c r="BI5" s="1882" t="s">
        <v>1467</v>
      </c>
      <c r="BJ5" s="1882" t="s">
        <v>1468</v>
      </c>
      <c r="BK5" s="1882" t="s">
        <v>1467</v>
      </c>
      <c r="BL5" s="1884"/>
    </row>
    <row r="6" spans="1:64" s="863" customFormat="1" ht="87" customHeight="1" thickBot="1">
      <c r="A6" s="1881"/>
      <c r="B6" s="1885"/>
      <c r="C6" s="1883"/>
      <c r="D6" s="1883"/>
      <c r="E6" s="1883"/>
      <c r="F6" s="1883"/>
      <c r="G6" s="1882"/>
      <c r="H6" s="1158"/>
      <c r="I6" s="1158" t="s">
        <v>1469</v>
      </c>
      <c r="J6" s="1882"/>
      <c r="K6" s="1158"/>
      <c r="L6" s="1158" t="s">
        <v>1469</v>
      </c>
      <c r="M6" s="1882"/>
      <c r="N6" s="1882"/>
      <c r="O6" s="1882"/>
      <c r="P6" s="1158"/>
      <c r="Q6" s="1158" t="s">
        <v>1469</v>
      </c>
      <c r="R6" s="1882"/>
      <c r="S6" s="1882"/>
      <c r="T6" s="1158"/>
      <c r="U6" s="1158" t="s">
        <v>1469</v>
      </c>
      <c r="V6" s="1882"/>
      <c r="W6" s="1882"/>
      <c r="X6" s="1882"/>
      <c r="Y6" s="1882"/>
      <c r="Z6" s="1882"/>
      <c r="AA6" s="1882"/>
      <c r="AB6" s="1882"/>
      <c r="AC6" s="1882"/>
      <c r="AD6" s="1158"/>
      <c r="AE6" s="1158" t="s">
        <v>1469</v>
      </c>
      <c r="AF6" s="1882"/>
      <c r="AG6" s="1882"/>
      <c r="AH6" s="1882"/>
      <c r="AI6" s="1882"/>
      <c r="AJ6" s="1158"/>
      <c r="AK6" s="1158" t="s">
        <v>1469</v>
      </c>
      <c r="AL6" s="1883"/>
      <c r="AM6" s="1882"/>
      <c r="AN6" s="1882"/>
      <c r="AO6" s="1882"/>
      <c r="AP6" s="1882"/>
      <c r="AQ6" s="1882"/>
      <c r="AR6" s="1882"/>
      <c r="AS6" s="1882"/>
      <c r="AT6" s="1882"/>
      <c r="AU6" s="1882"/>
      <c r="AV6" s="1882"/>
      <c r="AW6" s="1882"/>
      <c r="AX6" s="1882"/>
      <c r="AY6" s="1882"/>
      <c r="AZ6" s="1882"/>
      <c r="BA6" s="1882"/>
      <c r="BB6" s="1883"/>
      <c r="BC6" s="1883"/>
      <c r="BD6" s="1883"/>
      <c r="BE6" s="1883"/>
      <c r="BF6" s="1883"/>
      <c r="BG6" s="1883"/>
      <c r="BH6" s="1882"/>
      <c r="BI6" s="1882"/>
      <c r="BJ6" s="1882"/>
      <c r="BK6" s="1882"/>
      <c r="BL6" s="1884"/>
    </row>
    <row r="7" spans="1:64" s="1123" customFormat="1" ht="132" customHeight="1" thickBot="1">
      <c r="A7" s="1159">
        <v>1</v>
      </c>
      <c r="B7" s="1138" t="s">
        <v>1723</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1724</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1614</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1615</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1616</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1617</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1618</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1619</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1725</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1620</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1621</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1622</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1726</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1727</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1728</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1623</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1624</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1729</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1730</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1731</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1625</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1732</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1626</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1733</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1734</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1735</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1627</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1628</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1629</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1630</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1631</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1736</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1737</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1738</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1739</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1740</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1741</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1742</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1743</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1744</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1745</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1746</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1747</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1748</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1749</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1750</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1751</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1752</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1753</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1632</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1633</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1634</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1635</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1754</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1636</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1755</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1637</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1638</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1756</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1757</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1758</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1759</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1760</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1761</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Y280" sqref="Y280"/>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22" t="str">
        <f>IF(COUNTIF((W6:W320),"未入力あり"),"※このシートには未入力があります。「未入力あり」の行を確認してください。↓","✔チェック欄に未入力なし")</f>
        <v>✔チェック欄に未入力なし</v>
      </c>
      <c r="W1" s="1222"/>
    </row>
    <row r="2" spans="1:26" ht="28.5" customHeight="1">
      <c r="A2" s="1232" t="s">
        <v>1641</v>
      </c>
      <c r="B2" s="1232"/>
      <c r="C2" s="1232"/>
      <c r="D2" s="1232"/>
      <c r="E2" s="1232"/>
      <c r="F2" s="1232"/>
      <c r="G2" s="1232"/>
      <c r="H2" s="1232"/>
      <c r="I2" s="1232"/>
      <c r="J2" s="1232"/>
      <c r="K2" s="1232"/>
      <c r="L2" s="1232"/>
      <c r="M2" s="1232"/>
      <c r="N2" s="1232"/>
      <c r="O2" s="1232"/>
      <c r="P2" s="1232"/>
      <c r="Q2" s="1232"/>
      <c r="R2" s="1232"/>
      <c r="S2" s="1232"/>
      <c r="T2" s="1232"/>
      <c r="U2" s="1232"/>
      <c r="V2" s="1222"/>
      <c r="W2" s="1222"/>
      <c r="X2" s="143"/>
      <c r="Y2" s="148"/>
    </row>
    <row r="3" spans="1:26" ht="24.95" customHeight="1">
      <c r="A3" s="1239" t="s">
        <v>1676</v>
      </c>
      <c r="B3" s="1239"/>
      <c r="C3" s="1239"/>
      <c r="D3" s="1239"/>
      <c r="E3" s="1239"/>
      <c r="F3" s="1239"/>
      <c r="G3" s="1239"/>
      <c r="H3" s="1239"/>
      <c r="I3" s="1239"/>
      <c r="J3" s="1239"/>
      <c r="K3" s="1239"/>
      <c r="L3" s="1239"/>
      <c r="M3" s="1239"/>
      <c r="N3" s="1239"/>
      <c r="O3" s="1239"/>
      <c r="P3" s="1239"/>
      <c r="Q3" s="1239"/>
      <c r="R3" s="1239"/>
      <c r="S3" s="1239"/>
      <c r="T3" s="1239"/>
      <c r="U3" s="1239"/>
      <c r="V3" s="1222"/>
      <c r="W3" s="1222"/>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22"/>
      <c r="W4" s="1222"/>
      <c r="Y4" s="828"/>
    </row>
    <row r="5" spans="1:26" ht="25.5" customHeight="1" thickBot="1">
      <c r="A5" s="143" t="s">
        <v>1663</v>
      </c>
      <c r="G5" s="1169" t="s">
        <v>1763</v>
      </c>
      <c r="H5" s="3" t="s">
        <v>1695</v>
      </c>
      <c r="P5" s="1248" t="s">
        <v>1225</v>
      </c>
      <c r="Q5" s="1249"/>
      <c r="R5" s="1250"/>
      <c r="V5" s="1222"/>
      <c r="W5" s="1222"/>
      <c r="Y5" s="117"/>
    </row>
    <row r="6" spans="1:26" ht="20.100000000000001" customHeight="1" thickBot="1">
      <c r="B6" s="3"/>
      <c r="C6" s="3"/>
      <c r="D6" s="3"/>
      <c r="E6" s="3"/>
      <c r="G6" s="1169" t="s">
        <v>1763</v>
      </c>
      <c r="H6" s="3" t="s">
        <v>1677</v>
      </c>
      <c r="I6" s="143"/>
      <c r="J6" s="143"/>
      <c r="L6" s="143"/>
      <c r="M6" s="143"/>
      <c r="N6" s="143"/>
      <c r="O6" s="143"/>
      <c r="P6" s="8" t="s">
        <v>1226</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1674</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33" t="str">
        <f>表紙!E2</f>
        <v>社会医療法人生長会　ベルランド総合病院</v>
      </c>
      <c r="I11" s="1234"/>
      <c r="J11" s="1234"/>
      <c r="K11" s="1234"/>
      <c r="L11" s="1234"/>
      <c r="M11" s="1234"/>
      <c r="N11" s="1234"/>
      <c r="O11" s="1234"/>
      <c r="P11" s="1234"/>
      <c r="Q11" s="1234"/>
      <c r="R11" s="1234"/>
      <c r="S11" s="1234"/>
      <c r="T11" s="1235"/>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40" t="s">
        <v>1766</v>
      </c>
      <c r="I13" s="1241"/>
      <c r="J13" s="1241"/>
      <c r="K13" s="1241"/>
      <c r="L13" s="1241"/>
      <c r="M13" s="1241"/>
      <c r="N13" s="1241"/>
      <c r="O13" s="1241"/>
      <c r="P13" s="1241"/>
      <c r="Q13" s="1241"/>
      <c r="R13" s="1241"/>
      <c r="S13" s="1241"/>
      <c r="T13" s="1242"/>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21"/>
    </row>
    <row r="16" spans="1:26" ht="20.100000000000001" customHeight="1" thickBot="1">
      <c r="A16" s="167"/>
      <c r="B16" s="168" t="s">
        <v>210</v>
      </c>
      <c r="C16" s="168"/>
      <c r="D16" s="168"/>
      <c r="E16" s="168"/>
      <c r="F16" s="169"/>
      <c r="G16" s="176" t="s">
        <v>211</v>
      </c>
      <c r="H16" s="98" t="s">
        <v>1767</v>
      </c>
      <c r="I16" s="177"/>
      <c r="J16" s="177"/>
      <c r="K16" s="177"/>
      <c r="L16" s="177"/>
      <c r="M16" s="177"/>
      <c r="N16" s="177"/>
      <c r="O16" s="177"/>
      <c r="P16" s="177"/>
      <c r="Q16" s="177"/>
      <c r="R16" s="177"/>
      <c r="S16" s="177"/>
      <c r="T16" s="177"/>
      <c r="U16" s="175"/>
      <c r="V16" s="42">
        <f t="shared" si="0"/>
        <v>16</v>
      </c>
      <c r="Y16" s="117"/>
      <c r="Z16" s="1221"/>
    </row>
    <row r="17" spans="1:30" ht="20.100000000000001" customHeight="1" thickBot="1">
      <c r="A17" s="167"/>
      <c r="B17" s="168" t="s">
        <v>212</v>
      </c>
      <c r="C17" s="170"/>
      <c r="D17" s="170"/>
      <c r="E17" s="170"/>
      <c r="F17" s="169"/>
      <c r="G17" s="40"/>
      <c r="H17" s="99" t="s">
        <v>1768</v>
      </c>
      <c r="I17" s="1243" t="s">
        <v>1769</v>
      </c>
      <c r="J17" s="1244"/>
      <c r="K17" s="1244"/>
      <c r="L17" s="1244"/>
      <c r="M17" s="1244"/>
      <c r="N17" s="1244"/>
      <c r="O17" s="1244"/>
      <c r="P17" s="1244"/>
      <c r="Q17" s="1244"/>
      <c r="R17" s="1244"/>
      <c r="S17" s="1244"/>
      <c r="T17" s="1245"/>
      <c r="U17" s="175"/>
      <c r="V17" s="42">
        <f t="shared" si="0"/>
        <v>17</v>
      </c>
      <c r="Y17" s="117"/>
      <c r="Z17" s="1221"/>
    </row>
    <row r="18" spans="1:30" ht="21" customHeight="1" thickBot="1">
      <c r="A18" s="159"/>
      <c r="B18" s="160" t="s">
        <v>208</v>
      </c>
      <c r="C18" s="162"/>
      <c r="D18" s="162"/>
      <c r="E18" s="162"/>
      <c r="F18" s="161"/>
      <c r="G18" s="41"/>
      <c r="H18" s="1"/>
      <c r="I18" s="1223" t="s">
        <v>1770</v>
      </c>
      <c r="J18" s="1224"/>
      <c r="K18" s="1224"/>
      <c r="L18" s="1224"/>
      <c r="M18" s="1224"/>
      <c r="N18" s="1224"/>
      <c r="O18" s="1224"/>
      <c r="P18" s="1224"/>
      <c r="Q18" s="1224"/>
      <c r="R18" s="1224"/>
      <c r="S18" s="1224"/>
      <c r="T18" s="1225"/>
      <c r="U18" s="178"/>
      <c r="V18" s="42">
        <f t="shared" si="0"/>
        <v>18</v>
      </c>
      <c r="Y18" s="117"/>
      <c r="Z18" s="1221"/>
      <c r="AA18" s="143"/>
      <c r="AB18" s="143"/>
      <c r="AC18" s="143"/>
      <c r="AD18" s="143"/>
    </row>
    <row r="19" spans="1:30" ht="20.100000000000001" customHeight="1" thickBot="1">
      <c r="A19" s="167"/>
      <c r="B19" s="168" t="s">
        <v>213</v>
      </c>
      <c r="C19" s="170"/>
      <c r="D19" s="170"/>
      <c r="E19" s="170"/>
      <c r="F19" s="169"/>
      <c r="G19" s="170"/>
      <c r="H19" s="1226" t="s">
        <v>1764</v>
      </c>
      <c r="I19" s="1227"/>
      <c r="J19" s="1227"/>
      <c r="K19" s="1227"/>
      <c r="L19" s="1227"/>
      <c r="M19" s="1227"/>
      <c r="N19" s="1227"/>
      <c r="O19" s="1227"/>
      <c r="P19" s="1227"/>
      <c r="Q19" s="1227"/>
      <c r="R19" s="1227"/>
      <c r="S19" s="1227"/>
      <c r="T19" s="1228"/>
      <c r="U19" s="175"/>
      <c r="V19" s="42">
        <f t="shared" si="0"/>
        <v>19</v>
      </c>
      <c r="Y19" s="117"/>
      <c r="Z19" s="1221"/>
      <c r="AA19" s="143"/>
      <c r="AB19" s="143"/>
      <c r="AC19" s="143"/>
      <c r="AD19" s="143"/>
    </row>
    <row r="20" spans="1:30" ht="20.100000000000001" customHeight="1" thickBot="1">
      <c r="A20" s="167"/>
      <c r="B20" s="168" t="s">
        <v>214</v>
      </c>
      <c r="C20" s="170"/>
      <c r="D20" s="170"/>
      <c r="E20" s="170"/>
      <c r="F20" s="169"/>
      <c r="G20" s="170"/>
      <c r="H20" s="1226" t="s">
        <v>1771</v>
      </c>
      <c r="I20" s="1227"/>
      <c r="J20" s="1227"/>
      <c r="K20" s="1227"/>
      <c r="L20" s="1227"/>
      <c r="M20" s="1227"/>
      <c r="N20" s="1227"/>
      <c r="O20" s="1227"/>
      <c r="P20" s="1227"/>
      <c r="Q20" s="1227"/>
      <c r="R20" s="1227"/>
      <c r="S20" s="1227"/>
      <c r="T20" s="1228"/>
      <c r="U20" s="175"/>
      <c r="V20" s="42">
        <f t="shared" si="0"/>
        <v>20</v>
      </c>
      <c r="Y20" s="117"/>
      <c r="Z20" s="1221"/>
      <c r="AA20" s="143"/>
      <c r="AB20" s="143"/>
      <c r="AC20" s="143"/>
      <c r="AD20" s="143"/>
    </row>
    <row r="21" spans="1:30" ht="20.100000000000001" customHeight="1" thickBot="1">
      <c r="A21" s="167"/>
      <c r="B21" s="168" t="s">
        <v>215</v>
      </c>
      <c r="C21" s="170"/>
      <c r="D21" s="170"/>
      <c r="E21" s="170"/>
      <c r="F21" s="169"/>
      <c r="G21" s="170"/>
      <c r="H21" s="1229" t="s">
        <v>1765</v>
      </c>
      <c r="I21" s="1230"/>
      <c r="J21" s="1230"/>
      <c r="K21" s="1230"/>
      <c r="L21" s="1230"/>
      <c r="M21" s="1230"/>
      <c r="N21" s="1230"/>
      <c r="O21" s="1230"/>
      <c r="P21" s="1230"/>
      <c r="Q21" s="1230"/>
      <c r="R21" s="1230"/>
      <c r="S21" s="1230"/>
      <c r="T21" s="1231"/>
      <c r="U21" s="175"/>
      <c r="V21" s="42">
        <f t="shared" si="0"/>
        <v>21</v>
      </c>
      <c r="Y21" s="117"/>
      <c r="Z21" s="1221"/>
      <c r="AA21" s="143"/>
      <c r="AB21" s="143"/>
      <c r="AC21" s="143"/>
      <c r="AD21" s="143"/>
    </row>
    <row r="22" spans="1:30" ht="20.100000000000001" customHeight="1" thickBot="1">
      <c r="A22" s="167"/>
      <c r="B22" s="168" t="s">
        <v>216</v>
      </c>
      <c r="C22" s="170"/>
      <c r="D22" s="170"/>
      <c r="E22" s="170"/>
      <c r="F22" s="169"/>
      <c r="G22" s="170"/>
      <c r="H22" s="1226" t="s">
        <v>1772</v>
      </c>
      <c r="I22" s="1227"/>
      <c r="J22" s="1227"/>
      <c r="K22" s="1227"/>
      <c r="L22" s="1227"/>
      <c r="M22" s="1227"/>
      <c r="N22" s="1227"/>
      <c r="O22" s="1227"/>
      <c r="P22" s="1227"/>
      <c r="Q22" s="1227"/>
      <c r="R22" s="1227"/>
      <c r="S22" s="1227"/>
      <c r="T22" s="1228"/>
      <c r="U22" s="175"/>
      <c r="V22" s="42">
        <f t="shared" si="0"/>
        <v>22</v>
      </c>
      <c r="Y22" s="117"/>
      <c r="Z22" s="1221"/>
      <c r="AA22" s="143"/>
      <c r="AB22" s="143"/>
      <c r="AC22" s="143"/>
      <c r="AD22" s="143"/>
    </row>
    <row r="23" spans="1:30" ht="20.100000000000001" customHeight="1" thickBot="1">
      <c r="A23" s="167"/>
      <c r="B23" s="168" t="s">
        <v>217</v>
      </c>
      <c r="C23" s="168"/>
      <c r="D23" s="168"/>
      <c r="E23" s="168"/>
      <c r="F23" s="169"/>
      <c r="G23" s="170"/>
      <c r="H23" s="1236" t="s">
        <v>1773</v>
      </c>
      <c r="I23" s="1237"/>
      <c r="J23" s="1237"/>
      <c r="K23" s="1237"/>
      <c r="L23" s="1237"/>
      <c r="M23" s="1237"/>
      <c r="N23" s="1237"/>
      <c r="O23" s="1237"/>
      <c r="P23" s="1237"/>
      <c r="Q23" s="1237"/>
      <c r="R23" s="1237"/>
      <c r="S23" s="1237"/>
      <c r="T23" s="1238"/>
      <c r="U23" s="175"/>
      <c r="V23" s="42">
        <f t="shared" si="0"/>
        <v>23</v>
      </c>
      <c r="Y23" s="117"/>
      <c r="Z23" s="1221"/>
      <c r="AA23" s="143"/>
      <c r="AB23" s="143"/>
      <c r="AC23" s="143"/>
      <c r="AD23" s="143"/>
    </row>
    <row r="24" spans="1:30" ht="20.100000000000001" customHeight="1" thickBot="1">
      <c r="A24" s="167"/>
      <c r="B24" s="168" t="s">
        <v>218</v>
      </c>
      <c r="C24" s="168"/>
      <c r="D24" s="168"/>
      <c r="E24" s="168"/>
      <c r="F24" s="169"/>
      <c r="G24" s="170"/>
      <c r="H24" s="1236" t="s">
        <v>1773</v>
      </c>
      <c r="I24" s="1237"/>
      <c r="J24" s="1237"/>
      <c r="K24" s="1237"/>
      <c r="L24" s="1237"/>
      <c r="M24" s="1237"/>
      <c r="N24" s="1237"/>
      <c r="O24" s="1237"/>
      <c r="P24" s="1237"/>
      <c r="Q24" s="1237"/>
      <c r="R24" s="1237"/>
      <c r="S24" s="1237"/>
      <c r="T24" s="1238"/>
      <c r="U24" s="175"/>
      <c r="V24" s="42">
        <f t="shared" si="0"/>
        <v>24</v>
      </c>
      <c r="Y24" s="117"/>
      <c r="Z24" s="1221"/>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21"/>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477</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477</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117</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12</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30</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1150</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55" t="s">
        <v>233</v>
      </c>
      <c r="E35" s="1256"/>
      <c r="F35" s="1256"/>
      <c r="G35" s="1256"/>
      <c r="H35" s="1256"/>
      <c r="I35" s="1256"/>
      <c r="J35" s="1256"/>
      <c r="K35" s="1256"/>
      <c r="L35" s="1256"/>
      <c r="M35" s="1256"/>
      <c r="N35" s="1256"/>
      <c r="O35" s="1256"/>
      <c r="P35" s="1256"/>
      <c r="Q35" s="1256"/>
      <c r="R35" s="1256"/>
      <c r="S35" s="1256"/>
      <c r="T35" s="1256"/>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1344</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2.9</v>
      </c>
      <c r="J40" s="169" t="s">
        <v>232</v>
      </c>
      <c r="K40" s="5"/>
      <c r="L40" s="5"/>
      <c r="M40" s="5"/>
      <c r="N40" s="5"/>
      <c r="O40" s="169"/>
      <c r="P40" s="169"/>
      <c r="Q40" s="169"/>
      <c r="R40" s="288">
        <v>158</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v>
      </c>
      <c r="J41" s="169" t="s">
        <v>232</v>
      </c>
      <c r="K41" s="5"/>
      <c r="L41" s="5"/>
      <c r="M41" s="5"/>
      <c r="N41" s="5"/>
      <c r="O41" s="169"/>
      <c r="P41" s="169"/>
      <c r="Q41" s="169"/>
      <c r="R41" s="288">
        <v>0</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v>
      </c>
      <c r="J42" s="169" t="s">
        <v>232</v>
      </c>
      <c r="K42" s="169"/>
      <c r="L42" s="169"/>
      <c r="M42" s="169"/>
      <c r="N42" s="169"/>
      <c r="O42" s="169"/>
      <c r="P42" s="169"/>
      <c r="Q42" s="169"/>
      <c r="R42" s="288">
        <v>30</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1.8</v>
      </c>
      <c r="J43" s="169" t="s">
        <v>232</v>
      </c>
      <c r="K43" s="169"/>
      <c r="L43" s="169"/>
      <c r="M43" s="169"/>
      <c r="N43" s="169"/>
      <c r="O43" s="169"/>
      <c r="P43" s="169"/>
      <c r="Q43" s="169"/>
      <c r="R43" s="288">
        <v>17</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2.1</v>
      </c>
      <c r="J44" s="169" t="s">
        <v>232</v>
      </c>
      <c r="K44" s="169"/>
      <c r="L44" s="169"/>
      <c r="M44" s="169"/>
      <c r="N44" s="169"/>
      <c r="O44" s="169"/>
      <c r="P44" s="169"/>
      <c r="Q44" s="169"/>
      <c r="R44" s="288">
        <v>53</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27.7</v>
      </c>
      <c r="J45" s="169" t="s">
        <v>232</v>
      </c>
      <c r="K45" s="169"/>
      <c r="L45" s="169"/>
      <c r="M45" s="169"/>
      <c r="N45" s="169"/>
      <c r="O45" s="169"/>
      <c r="P45" s="169"/>
      <c r="Q45" s="169"/>
      <c r="R45" s="288">
        <v>433</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1.6</v>
      </c>
      <c r="J46" s="169" t="s">
        <v>232</v>
      </c>
      <c r="K46" s="169"/>
      <c r="L46" s="169"/>
      <c r="M46" s="169"/>
      <c r="N46" s="169"/>
      <c r="O46" s="169"/>
      <c r="P46" s="169"/>
      <c r="Q46" s="169"/>
      <c r="R46" s="288">
        <v>0</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18</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6</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1</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8</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v>
      </c>
      <c r="J52" s="169" t="s">
        <v>232</v>
      </c>
      <c r="K52" s="169"/>
      <c r="L52" s="169"/>
      <c r="M52" s="169"/>
      <c r="N52" s="169"/>
      <c r="O52" s="169"/>
      <c r="P52" s="169"/>
      <c r="Q52" s="169"/>
      <c r="R52" s="288">
        <v>0</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v>
      </c>
      <c r="J54" s="169" t="s">
        <v>232</v>
      </c>
      <c r="K54" s="169"/>
      <c r="L54" s="169"/>
      <c r="M54" s="169"/>
      <c r="N54" s="169"/>
      <c r="O54" s="169"/>
      <c r="P54" s="169"/>
      <c r="Q54" s="169"/>
      <c r="R54" s="288">
        <v>40</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1.8</v>
      </c>
      <c r="J55" s="169" t="s">
        <v>232</v>
      </c>
      <c r="K55" s="169"/>
      <c r="L55" s="169"/>
      <c r="M55" s="169"/>
      <c r="N55" s="169"/>
      <c r="O55" s="169"/>
      <c r="P55" s="169"/>
      <c r="Q55" s="169"/>
      <c r="R55" s="288">
        <v>44</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17</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v>
      </c>
      <c r="J58" s="169" t="s">
        <v>232</v>
      </c>
      <c r="K58" s="169"/>
      <c r="L58" s="169"/>
      <c r="M58" s="169"/>
      <c r="N58" s="169"/>
      <c r="O58" s="169"/>
      <c r="P58" s="169"/>
      <c r="Q58" s="169"/>
      <c r="R58" s="288">
        <v>6</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8</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3</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7</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10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7</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8</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0</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1</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25</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v>
      </c>
      <c r="J73" s="169" t="s">
        <v>232</v>
      </c>
      <c r="K73" s="169"/>
      <c r="L73" s="169"/>
      <c r="M73" s="169"/>
      <c r="N73" s="169"/>
      <c r="O73" s="169"/>
      <c r="P73" s="169"/>
      <c r="Q73" s="169"/>
      <c r="R73" s="288">
        <v>7</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2</v>
      </c>
      <c r="J74" s="169" t="s">
        <v>232</v>
      </c>
      <c r="K74" s="169"/>
      <c r="L74" s="169"/>
      <c r="M74" s="169"/>
      <c r="N74" s="169"/>
      <c r="O74" s="169"/>
      <c r="P74" s="169"/>
      <c r="Q74" s="169"/>
      <c r="R74" s="288">
        <v>9</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3</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1</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4</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1</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3</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3</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3</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2</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0</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6</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3</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3</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2</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5</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2</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v>
      </c>
      <c r="J96" s="169" t="s">
        <v>232</v>
      </c>
      <c r="K96" s="169"/>
      <c r="L96" s="169"/>
      <c r="M96" s="169"/>
      <c r="N96" s="169"/>
      <c r="O96" s="169"/>
      <c r="P96" s="169"/>
      <c r="Q96" s="169"/>
      <c r="R96" s="288">
        <v>8</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11</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7</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5</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2</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3</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3</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1</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3</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0</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2</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1</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12</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12</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1</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1</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3</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3</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4</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2</v>
      </c>
      <c r="J121" s="169" t="s">
        <v>232</v>
      </c>
      <c r="K121" s="169"/>
      <c r="L121" s="169"/>
      <c r="M121" s="169"/>
      <c r="N121" s="169"/>
      <c r="O121" s="169"/>
      <c r="P121" s="169"/>
      <c r="Q121" s="169"/>
      <c r="R121" s="288">
        <v>3</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2</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2</v>
      </c>
      <c r="J123" s="169" t="s">
        <v>232</v>
      </c>
      <c r="K123" s="169"/>
      <c r="L123" s="169"/>
      <c r="M123" s="169"/>
      <c r="N123" s="169"/>
      <c r="O123" s="169"/>
      <c r="P123" s="169"/>
      <c r="Q123" s="169"/>
      <c r="R123" s="288">
        <v>6</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5</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2</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1</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23</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1</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7</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8</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0</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3</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1</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1</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6</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1</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1</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0</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2</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1</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3</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2</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1</v>
      </c>
      <c r="J167" s="169" t="s">
        <v>232</v>
      </c>
      <c r="K167" s="169"/>
      <c r="L167" s="169"/>
      <c r="M167" s="169"/>
      <c r="N167" s="169"/>
      <c r="O167" s="169"/>
      <c r="P167" s="169"/>
      <c r="Q167" s="169"/>
      <c r="R167" s="288">
        <v>2</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3</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1</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1</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0</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46" t="s">
        <v>382</v>
      </c>
      <c r="D184" s="1246"/>
      <c r="E184" s="1246"/>
      <c r="F184" s="1246"/>
      <c r="G184" s="1246"/>
      <c r="H184" s="1247"/>
      <c r="I184" s="288">
        <v>0</v>
      </c>
      <c r="J184" s="169" t="s">
        <v>232</v>
      </c>
      <c r="K184" s="169"/>
      <c r="L184" s="169"/>
      <c r="M184" s="169"/>
      <c r="N184" s="169"/>
      <c r="O184" s="169"/>
      <c r="P184" s="169"/>
      <c r="Q184" s="169"/>
      <c r="R184" s="288">
        <v>8</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2</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0</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4</v>
      </c>
      <c r="J188" s="169" t="s">
        <v>232</v>
      </c>
      <c r="K188" s="169"/>
      <c r="L188" s="169"/>
      <c r="M188" s="169"/>
      <c r="N188" s="169"/>
      <c r="O188" s="169"/>
      <c r="P188" s="169"/>
      <c r="Q188" s="169"/>
      <c r="R188" s="288">
        <v>4</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46" t="s">
        <v>389</v>
      </c>
      <c r="D191" s="1246"/>
      <c r="E191" s="1246"/>
      <c r="F191" s="1246"/>
      <c r="G191" s="1246"/>
      <c r="H191" s="1247"/>
      <c r="I191" s="288">
        <v>0</v>
      </c>
      <c r="J191" s="169" t="s">
        <v>232</v>
      </c>
      <c r="K191" s="169"/>
      <c r="L191" s="169"/>
      <c r="M191" s="169"/>
      <c r="N191" s="169"/>
      <c r="O191" s="169"/>
      <c r="P191" s="169"/>
      <c r="Q191" s="169"/>
      <c r="R191" s="288">
        <v>1</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1.8</v>
      </c>
      <c r="J192" s="169" t="s">
        <v>232</v>
      </c>
      <c r="K192" s="169"/>
      <c r="L192" s="169"/>
      <c r="M192" s="169"/>
      <c r="N192" s="169"/>
      <c r="O192" s="169"/>
      <c r="P192" s="169"/>
      <c r="Q192" s="169"/>
      <c r="R192" s="288">
        <v>4</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1.8</v>
      </c>
      <c r="J196" s="169" t="s">
        <v>232</v>
      </c>
      <c r="K196" s="169"/>
      <c r="L196" s="169"/>
      <c r="M196" s="169"/>
      <c r="N196" s="169"/>
      <c r="O196" s="169"/>
      <c r="P196" s="169"/>
      <c r="Q196" s="169"/>
      <c r="R196" s="288">
        <v>5</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3</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1774</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1775</v>
      </c>
      <c r="I202" s="191" t="s">
        <v>401</v>
      </c>
      <c r="J202" s="229"/>
      <c r="K202" s="229"/>
      <c r="L202" s="229"/>
      <c r="M202" s="229" t="s">
        <v>402</v>
      </c>
      <c r="N202" s="288">
        <v>4</v>
      </c>
      <c r="O202" s="143" t="s">
        <v>1696</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1776</v>
      </c>
      <c r="I203" s="191" t="s">
        <v>401</v>
      </c>
      <c r="J203" s="229"/>
      <c r="K203" s="229"/>
      <c r="L203" s="229"/>
      <c r="M203" s="229" t="s">
        <v>402</v>
      </c>
      <c r="N203" s="288">
        <v>6</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1776</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21"/>
      <c r="AA206" s="143"/>
      <c r="AB206" s="143"/>
      <c r="AC206" s="143"/>
      <c r="AD206" s="143"/>
    </row>
    <row r="207" spans="1:30" ht="20.100000000000001" customHeight="1" thickBot="1">
      <c r="A207" s="167"/>
      <c r="B207" s="168" t="s">
        <v>406</v>
      </c>
      <c r="C207" s="168" t="s">
        <v>407</v>
      </c>
      <c r="D207" s="169"/>
      <c r="E207" s="168"/>
      <c r="F207" s="190" t="s">
        <v>1697</v>
      </c>
      <c r="G207" s="1189"/>
      <c r="H207" s="183"/>
      <c r="I207" s="188"/>
      <c r="J207" s="5"/>
      <c r="K207" s="5"/>
      <c r="L207" s="5"/>
      <c r="M207" s="5"/>
      <c r="N207" s="5"/>
      <c r="O207" s="5"/>
      <c r="P207" s="5"/>
      <c r="Q207" s="5"/>
      <c r="R207" s="188"/>
      <c r="S207" s="5"/>
      <c r="T207" s="169"/>
      <c r="U207" s="182"/>
      <c r="V207" s="42">
        <f t="shared" si="20"/>
        <v>207</v>
      </c>
      <c r="Y207" s="117"/>
      <c r="Z207" s="1221"/>
      <c r="AA207" s="143"/>
      <c r="AB207" s="143"/>
      <c r="AC207" s="143"/>
      <c r="AD207" s="143"/>
    </row>
    <row r="208" spans="1:30" ht="20.100000000000001" customHeight="1" thickBot="1">
      <c r="A208" s="167"/>
      <c r="B208" s="169"/>
      <c r="C208" s="168"/>
      <c r="D208" s="168" t="s">
        <v>1718</v>
      </c>
      <c r="E208" s="169"/>
      <c r="F208" s="169"/>
      <c r="G208" s="170"/>
      <c r="H208" s="183"/>
      <c r="I208" s="188"/>
      <c r="J208" s="5"/>
      <c r="K208" s="5"/>
      <c r="L208" s="5"/>
      <c r="M208" s="5"/>
      <c r="N208" s="5"/>
      <c r="O208" s="5"/>
      <c r="P208" s="5"/>
      <c r="Q208" s="5"/>
      <c r="R208" s="288">
        <v>166520</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1719</v>
      </c>
      <c r="F209" s="168"/>
      <c r="G209" s="170"/>
      <c r="H209" s="183"/>
      <c r="I209" s="188"/>
      <c r="J209" s="5"/>
      <c r="K209" s="5"/>
      <c r="L209" s="5"/>
      <c r="M209" s="5"/>
      <c r="N209" s="5"/>
      <c r="O209" s="5"/>
      <c r="P209" s="5"/>
      <c r="Q209" s="5"/>
      <c r="R209" s="288">
        <v>30646</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18.403795339899112</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19138</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194</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57" t="s">
        <v>1720</v>
      </c>
      <c r="E213" s="1257"/>
      <c r="F213" s="1257"/>
      <c r="G213" s="1257"/>
      <c r="H213" s="1257"/>
      <c r="I213" s="1257"/>
      <c r="J213" s="1257"/>
      <c r="K213" s="1257"/>
      <c r="L213" s="1257"/>
      <c r="M213" s="1257"/>
      <c r="N213" s="1257"/>
      <c r="O213" s="1257"/>
      <c r="P213" s="1257"/>
      <c r="Q213" s="1257"/>
      <c r="R213" s="1257"/>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23435</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15218</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830</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1646</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1698</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8" t="s">
        <v>422</v>
      </c>
      <c r="F226" s="1219"/>
      <c r="G226" s="1219"/>
      <c r="H226" s="1219"/>
      <c r="I226" s="1219"/>
      <c r="J226" s="1220"/>
      <c r="K226" s="269"/>
      <c r="L226" s="5"/>
      <c r="M226" s="5"/>
      <c r="N226" s="5"/>
      <c r="O226" s="5"/>
      <c r="P226" s="5"/>
      <c r="Q226" s="5"/>
      <c r="R226" s="288">
        <v>8</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136</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85</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84</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9</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85</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65</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51" t="s">
        <v>431</v>
      </c>
      <c r="E234" s="1252"/>
      <c r="F234" s="1252"/>
      <c r="G234" s="1252"/>
      <c r="H234" s="1252"/>
      <c r="I234" s="1252"/>
      <c r="J234" s="1252"/>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53" t="s">
        <v>432</v>
      </c>
      <c r="F235" s="1246"/>
      <c r="G235" s="1246"/>
      <c r="H235" s="1246"/>
      <c r="I235" s="1246"/>
      <c r="J235" s="1254"/>
      <c r="K235" s="269"/>
      <c r="L235" s="5"/>
      <c r="M235" s="5"/>
      <c r="N235" s="5"/>
      <c r="O235" s="5"/>
      <c r="P235" s="5"/>
      <c r="Q235" s="5"/>
      <c r="R235" s="288">
        <v>1</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45</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45</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39</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53</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160</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4</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6</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5</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8" t="s">
        <v>444</v>
      </c>
      <c r="F247" s="1219"/>
      <c r="G247" s="1219"/>
      <c r="H247" s="1219"/>
      <c r="I247" s="1219"/>
      <c r="J247" s="1220"/>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76</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76</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7</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5</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5</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11</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8" t="s">
        <v>453</v>
      </c>
      <c r="F257" s="1219"/>
      <c r="G257" s="1219"/>
      <c r="H257" s="1219"/>
      <c r="I257" s="1219"/>
      <c r="J257" s="1220"/>
      <c r="K257" s="269"/>
      <c r="L257" s="5"/>
      <c r="M257" s="5"/>
      <c r="N257" s="5"/>
      <c r="O257" s="5"/>
      <c r="P257" s="5"/>
      <c r="Q257" s="5"/>
      <c r="R257" s="288">
        <v>3</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8" t="s">
        <v>456</v>
      </c>
      <c r="F260" s="1219"/>
      <c r="G260" s="1219"/>
      <c r="H260" s="1219"/>
      <c r="I260" s="1219"/>
      <c r="J260" s="1220"/>
      <c r="K260" s="269"/>
      <c r="L260" s="5"/>
      <c r="M260" s="5"/>
      <c r="N260" s="5"/>
      <c r="O260" s="5"/>
      <c r="P260" s="5"/>
      <c r="Q260" s="5"/>
      <c r="R260" s="288">
        <v>2</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8" t="s">
        <v>458</v>
      </c>
      <c r="F262" s="1219"/>
      <c r="G262" s="1219"/>
      <c r="H262" s="1219"/>
      <c r="I262" s="1219"/>
      <c r="J262" s="1220"/>
      <c r="K262" s="269"/>
      <c r="L262" s="5"/>
      <c r="M262" s="5"/>
      <c r="N262" s="5"/>
      <c r="O262" s="5"/>
      <c r="P262" s="5"/>
      <c r="Q262" s="5"/>
      <c r="R262" s="288">
        <v>8</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3</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2</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1699</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242</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4</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17</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1700</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69</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2</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3</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15</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1444</v>
      </c>
      <c r="E281" s="886"/>
      <c r="F281" s="886"/>
      <c r="G281" s="170"/>
      <c r="H281" s="170"/>
      <c r="I281" s="273"/>
      <c r="J281" s="269"/>
      <c r="K281" s="5"/>
      <c r="L281" s="5"/>
      <c r="M281" s="5"/>
      <c r="N281" s="5"/>
      <c r="O281" s="5"/>
      <c r="P281" s="5"/>
      <c r="Q281" s="5"/>
      <c r="R281" s="288">
        <v>97</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1446</v>
      </c>
      <c r="E282" s="886"/>
      <c r="F282" s="886"/>
      <c r="G282" s="170"/>
      <c r="H282" s="170"/>
      <c r="I282" s="273"/>
      <c r="J282" s="269"/>
      <c r="K282" s="5"/>
      <c r="L282" s="5"/>
      <c r="M282" s="5"/>
      <c r="N282" s="5"/>
      <c r="O282" s="5"/>
      <c r="P282" s="5"/>
      <c r="Q282" s="5"/>
      <c r="R282" s="288">
        <v>4</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1445</v>
      </c>
      <c r="E283" s="886"/>
      <c r="F283" s="886"/>
      <c r="G283" s="170"/>
      <c r="H283" s="170"/>
      <c r="I283" s="273"/>
      <c r="J283" s="269"/>
      <c r="K283" s="5"/>
      <c r="L283" s="5"/>
      <c r="M283" s="5"/>
      <c r="N283" s="5"/>
      <c r="O283" s="5"/>
      <c r="P283" s="5"/>
      <c r="Q283" s="5"/>
      <c r="R283" s="288">
        <v>1</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1447</v>
      </c>
      <c r="E284" s="886"/>
      <c r="F284" s="886"/>
      <c r="G284" s="170"/>
      <c r="H284" s="170"/>
      <c r="I284" s="273"/>
      <c r="J284" s="269"/>
      <c r="K284" s="5"/>
      <c r="L284" s="5"/>
      <c r="M284" s="5"/>
      <c r="N284" s="5"/>
      <c r="O284" s="5"/>
      <c r="P284" s="5"/>
      <c r="Q284" s="5"/>
      <c r="R284" s="288">
        <v>1</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1701</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113</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17</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11</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1702</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1647</v>
      </c>
      <c r="D290" s="168"/>
      <c r="E290" s="168"/>
      <c r="F290" s="169"/>
      <c r="G290" s="170"/>
      <c r="H290" s="183"/>
      <c r="I290" s="188"/>
      <c r="J290" s="5"/>
      <c r="L290" s="5"/>
      <c r="M290" s="5"/>
      <c r="N290" s="5"/>
      <c r="O290" s="5"/>
      <c r="P290" s="5"/>
      <c r="Q290" s="5"/>
      <c r="R290" s="288">
        <v>1</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1528</v>
      </c>
      <c r="D292" s="168"/>
      <c r="E292" s="168"/>
      <c r="F292" s="169"/>
      <c r="G292" s="170"/>
      <c r="H292" s="183"/>
      <c r="I292" s="188"/>
      <c r="J292" s="5"/>
      <c r="L292" s="5"/>
      <c r="M292" s="5"/>
      <c r="N292" s="5"/>
      <c r="O292" s="5"/>
      <c r="P292" s="5"/>
      <c r="Q292" s="5"/>
      <c r="R292" s="288">
        <v>1</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1529</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1530</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1777</v>
      </c>
      <c r="S296" s="1216" t="s">
        <v>478</v>
      </c>
      <c r="T296" s="1217"/>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1777</v>
      </c>
      <c r="S297" s="1216" t="s">
        <v>478</v>
      </c>
      <c r="T297" s="1217"/>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1777</v>
      </c>
      <c r="S298" s="1216" t="s">
        <v>478</v>
      </c>
      <c r="T298" s="1217"/>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1777</v>
      </c>
      <c r="S299" s="1216" t="s">
        <v>478</v>
      </c>
      <c r="T299" s="1217"/>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1777</v>
      </c>
      <c r="S300" s="1216" t="s">
        <v>478</v>
      </c>
      <c r="T300" s="1217"/>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1777</v>
      </c>
      <c r="S301" s="1216" t="s">
        <v>478</v>
      </c>
      <c r="T301" s="1217"/>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1777</v>
      </c>
      <c r="S302" s="1216" t="s">
        <v>478</v>
      </c>
      <c r="T302" s="1217"/>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1777</v>
      </c>
      <c r="S303" s="1216" t="s">
        <v>478</v>
      </c>
      <c r="T303" s="1217"/>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1777</v>
      </c>
      <c r="S305" s="1216" t="s">
        <v>478</v>
      </c>
      <c r="T305" s="1217"/>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1777</v>
      </c>
      <c r="S306" s="1216" t="s">
        <v>478</v>
      </c>
      <c r="T306" s="1217"/>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1777</v>
      </c>
      <c r="S309" s="1216" t="s">
        <v>478</v>
      </c>
      <c r="T309" s="1217"/>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1777</v>
      </c>
      <c r="S310" s="1216" t="s">
        <v>478</v>
      </c>
      <c r="T310" s="1217"/>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1777</v>
      </c>
      <c r="S311" s="1216" t="s">
        <v>478</v>
      </c>
      <c r="T311" s="1217"/>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1778</v>
      </c>
      <c r="S315" s="1216" t="s">
        <v>478</v>
      </c>
      <c r="T315" s="1217"/>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1778</v>
      </c>
      <c r="S316" s="1216" t="s">
        <v>478</v>
      </c>
      <c r="T316" s="1217"/>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1778</v>
      </c>
      <c r="S320" s="1216" t="s">
        <v>478</v>
      </c>
      <c r="T320" s="1217"/>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F190" zoomScale="70" zoomScaleNormal="55" zoomScaleSheetLayoutView="70" workbookViewId="0">
      <selection activeCell="O217" sqref="O217"/>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61" t="s">
        <v>503</v>
      </c>
      <c r="C2" s="1261"/>
      <c r="D2" s="1261"/>
      <c r="E2" s="1261"/>
      <c r="F2" s="1261"/>
      <c r="G2" s="1261"/>
      <c r="H2" s="1264" t="str">
        <f>+IF(ISBLANK(表紙!E2),"未入力",表紙!E2)</f>
        <v>社会医療法人生長会　ベルランド総合病院</v>
      </c>
      <c r="J2" s="295"/>
      <c r="K2" s="296" t="str">
        <f>+IF(SUM(Q2)&gt;0,"未入力があります。","")</f>
        <v/>
      </c>
      <c r="Q2" s="49">
        <f>+COUNTIF($M10:$M358,$Q$1)</f>
        <v>0</v>
      </c>
      <c r="R2" s="49">
        <f>+COUNTIF($M10:$M358,$R$1)</f>
        <v>153</v>
      </c>
      <c r="S2" s="49">
        <f>+COUNTIF($M10:$M358,$S$1)</f>
        <v>0</v>
      </c>
    </row>
    <row r="3" spans="1:19" ht="14.25" thickBot="1">
      <c r="A3" s="289">
        <v>3</v>
      </c>
      <c r="B3" s="1262"/>
      <c r="C3" s="1262"/>
      <c r="D3" s="1262"/>
      <c r="E3" s="1262"/>
      <c r="F3" s="1262"/>
      <c r="G3" s="1262"/>
      <c r="H3" s="1265"/>
      <c r="J3" s="290"/>
      <c r="K3" s="290"/>
    </row>
    <row r="4" spans="1:19" ht="14.25" thickBot="1">
      <c r="A4" s="289">
        <v>4</v>
      </c>
      <c r="B4" s="1263"/>
      <c r="C4" s="1263"/>
      <c r="D4" s="1263"/>
      <c r="E4" s="1263"/>
      <c r="F4" s="1263"/>
      <c r="G4" s="1263"/>
      <c r="H4" s="1266"/>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1557</v>
      </c>
      <c r="C9" s="298"/>
      <c r="D9" s="298"/>
      <c r="E9" s="298"/>
      <c r="F9" s="298"/>
      <c r="G9" s="298"/>
      <c r="H9" s="299" t="s">
        <v>504</v>
      </c>
      <c r="I9" s="300" t="s">
        <v>505</v>
      </c>
      <c r="J9" s="301" t="s">
        <v>1678</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1236</v>
      </c>
      <c r="G13" s="895"/>
      <c r="H13" s="896" t="s">
        <v>1536</v>
      </c>
      <c r="I13" s="324" t="s">
        <v>1227</v>
      </c>
      <c r="J13" s="66" t="s">
        <v>1778</v>
      </c>
      <c r="K13" s="309" t="s">
        <v>512</v>
      </c>
      <c r="M13" s="310" t="str">
        <f t="shared" ref="M13:M19" si="0">+IF(I13="A",IF(ISBLANK(J13),"未入力あり",IF(J13="はい","○","×")),"")</f>
        <v>○</v>
      </c>
      <c r="O13" s="118"/>
    </row>
    <row r="14" spans="1:19" ht="30.75" customHeight="1" thickBot="1">
      <c r="A14" s="289">
        <v>14</v>
      </c>
      <c r="C14" s="312"/>
      <c r="D14" s="312"/>
      <c r="E14" s="893"/>
      <c r="F14" s="897"/>
      <c r="G14" s="898"/>
      <c r="H14" s="899" t="s">
        <v>1230</v>
      </c>
      <c r="I14" s="326" t="s">
        <v>1227</v>
      </c>
      <c r="J14" s="66" t="s">
        <v>1778</v>
      </c>
      <c r="K14" s="311" t="s">
        <v>513</v>
      </c>
      <c r="M14" s="310" t="str">
        <f t="shared" si="0"/>
        <v>○</v>
      </c>
      <c r="O14" s="118"/>
    </row>
    <row r="15" spans="1:19" ht="14.25" thickBot="1">
      <c r="A15" s="289">
        <v>15</v>
      </c>
      <c r="C15" s="312"/>
      <c r="D15" s="312"/>
      <c r="E15" s="893"/>
      <c r="F15" s="894" t="s">
        <v>1237</v>
      </c>
      <c r="G15" s="895"/>
      <c r="H15" s="900" t="s">
        <v>514</v>
      </c>
      <c r="I15" s="327" t="s">
        <v>1227</v>
      </c>
      <c r="J15" s="66" t="s">
        <v>1778</v>
      </c>
      <c r="K15" s="973"/>
      <c r="M15" s="310" t="str">
        <f t="shared" si="0"/>
        <v>○</v>
      </c>
      <c r="O15" s="118"/>
    </row>
    <row r="16" spans="1:19" ht="14.25" thickBot="1">
      <c r="A16" s="289">
        <v>16</v>
      </c>
      <c r="C16" s="312"/>
      <c r="D16" s="312"/>
      <c r="E16" s="893"/>
      <c r="F16" s="893"/>
      <c r="G16" s="901" t="s">
        <v>515</v>
      </c>
      <c r="H16" s="902" t="s">
        <v>516</v>
      </c>
      <c r="I16" s="329" t="s">
        <v>1227</v>
      </c>
      <c r="J16" s="66" t="s">
        <v>1778</v>
      </c>
      <c r="K16" s="970"/>
      <c r="M16" s="310" t="str">
        <f t="shared" si="0"/>
        <v>○</v>
      </c>
      <c r="O16" s="118"/>
    </row>
    <row r="17" spans="1:21" ht="14.25" thickBot="1">
      <c r="A17" s="289">
        <v>17</v>
      </c>
      <c r="C17" s="312"/>
      <c r="D17" s="312"/>
      <c r="E17" s="893"/>
      <c r="F17" s="893"/>
      <c r="G17" s="901" t="s">
        <v>517</v>
      </c>
      <c r="H17" s="902" t="s">
        <v>518</v>
      </c>
      <c r="I17" s="949" t="s">
        <v>1227</v>
      </c>
      <c r="J17" s="66" t="s">
        <v>1778</v>
      </c>
      <c r="K17" s="970"/>
      <c r="M17" s="310" t="str">
        <f t="shared" si="0"/>
        <v>○</v>
      </c>
      <c r="O17" s="118"/>
    </row>
    <row r="18" spans="1:21" ht="14.25" thickBot="1">
      <c r="A18" s="289">
        <v>18</v>
      </c>
      <c r="C18" s="312"/>
      <c r="D18" s="312"/>
      <c r="E18" s="893"/>
      <c r="F18" s="897"/>
      <c r="G18" s="903" t="s">
        <v>519</v>
      </c>
      <c r="H18" s="904" t="s">
        <v>520</v>
      </c>
      <c r="I18" s="950" t="s">
        <v>1227</v>
      </c>
      <c r="J18" s="66" t="s">
        <v>1778</v>
      </c>
      <c r="K18" s="978"/>
      <c r="M18" s="310" t="str">
        <f t="shared" si="0"/>
        <v>○</v>
      </c>
      <c r="O18" s="118"/>
    </row>
    <row r="19" spans="1:21" ht="14.25" thickBot="1">
      <c r="A19" s="289">
        <v>19</v>
      </c>
      <c r="C19" s="312"/>
      <c r="D19" s="312"/>
      <c r="E19" s="893"/>
      <c r="F19" s="894" t="s">
        <v>1238</v>
      </c>
      <c r="G19" s="895"/>
      <c r="H19" s="900" t="s">
        <v>521</v>
      </c>
      <c r="I19" s="951" t="s">
        <v>1227</v>
      </c>
      <c r="J19" s="66" t="s">
        <v>1778</v>
      </c>
      <c r="K19" s="973"/>
      <c r="M19" s="310" t="str">
        <f t="shared" si="0"/>
        <v>○</v>
      </c>
      <c r="O19" s="118"/>
    </row>
    <row r="20" spans="1:21" ht="27.75" customHeight="1" thickBot="1">
      <c r="A20" s="289">
        <v>20</v>
      </c>
      <c r="C20" s="312"/>
      <c r="D20" s="312"/>
      <c r="E20" s="893"/>
      <c r="F20" s="893"/>
      <c r="G20" s="901" t="s">
        <v>515</v>
      </c>
      <c r="H20" s="902" t="s">
        <v>522</v>
      </c>
      <c r="I20" s="949" t="s">
        <v>1470</v>
      </c>
      <c r="J20" s="66" t="s">
        <v>1778</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1470</v>
      </c>
      <c r="J21" s="66" t="s">
        <v>1777</v>
      </c>
      <c r="K21" s="970" t="s">
        <v>523</v>
      </c>
      <c r="M21" s="310" t="str">
        <f t="shared" si="1"/>
        <v>〇</v>
      </c>
      <c r="O21" s="118"/>
    </row>
    <row r="22" spans="1:21" ht="41.25" thickBot="1">
      <c r="A22" s="289">
        <v>22</v>
      </c>
      <c r="C22" s="312"/>
      <c r="D22" s="312"/>
      <c r="E22" s="893"/>
      <c r="F22" s="893"/>
      <c r="G22" s="901" t="s">
        <v>519</v>
      </c>
      <c r="H22" s="902" t="s">
        <v>525</v>
      </c>
      <c r="I22" s="949" t="s">
        <v>1470</v>
      </c>
      <c r="J22" s="288">
        <v>1</v>
      </c>
      <c r="K22" s="970" t="s">
        <v>526</v>
      </c>
      <c r="M22" s="310" t="str">
        <f t="shared" si="1"/>
        <v>〇</v>
      </c>
      <c r="O22" s="118"/>
      <c r="T22" s="333"/>
      <c r="U22" s="334"/>
    </row>
    <row r="23" spans="1:21" ht="27.75" thickBot="1">
      <c r="A23" s="289">
        <v>23</v>
      </c>
      <c r="C23" s="312"/>
      <c r="D23" s="312"/>
      <c r="E23" s="893"/>
      <c r="F23" s="893"/>
      <c r="G23" s="905" t="s">
        <v>527</v>
      </c>
      <c r="H23" s="904" t="s">
        <v>528</v>
      </c>
      <c r="I23" s="950" t="s">
        <v>1470</v>
      </c>
      <c r="J23" s="288">
        <v>4</v>
      </c>
      <c r="K23" s="978" t="s">
        <v>529</v>
      </c>
      <c r="M23" s="310" t="str">
        <f t="shared" si="1"/>
        <v>〇</v>
      </c>
      <c r="O23" s="118"/>
      <c r="T23" s="333"/>
      <c r="U23" s="334"/>
    </row>
    <row r="24" spans="1:21" ht="14.25" thickBot="1">
      <c r="A24" s="289">
        <v>24</v>
      </c>
      <c r="C24" s="312"/>
      <c r="D24" s="312"/>
      <c r="E24" s="893"/>
      <c r="F24" s="897"/>
      <c r="G24" s="906"/>
      <c r="H24" s="899" t="s">
        <v>530</v>
      </c>
      <c r="I24" s="952" t="s">
        <v>1227</v>
      </c>
      <c r="J24" s="66" t="s">
        <v>1778</v>
      </c>
      <c r="K24" s="983"/>
      <c r="M24" s="310" t="str">
        <f>+IF(I24="A",IF(ISBLANK(J24),"未入力あり",IF(J24="はい","○","×")),"")</f>
        <v>○</v>
      </c>
      <c r="O24" s="118"/>
    </row>
    <row r="25" spans="1:21" ht="27.75" thickBot="1">
      <c r="A25" s="289">
        <v>25</v>
      </c>
      <c r="C25" s="312"/>
      <c r="D25" s="312"/>
      <c r="E25" s="893"/>
      <c r="F25" s="907" t="s">
        <v>1239</v>
      </c>
      <c r="G25" s="908"/>
      <c r="H25" s="909" t="s">
        <v>531</v>
      </c>
      <c r="I25" s="953" t="s">
        <v>1227</v>
      </c>
      <c r="J25" s="66" t="s">
        <v>1778</v>
      </c>
      <c r="K25" s="972" t="s">
        <v>1604</v>
      </c>
      <c r="M25" s="310" t="str">
        <f>+IF(I25="A",IF(ISBLANK(J25),"未入力あり",IF(J25="はい","○","×")),"")</f>
        <v>○</v>
      </c>
      <c r="O25" s="118"/>
    </row>
    <row r="26" spans="1:21" ht="46.9" customHeight="1" thickBot="1">
      <c r="A26" s="289">
        <v>26</v>
      </c>
      <c r="C26" s="312"/>
      <c r="D26" s="312"/>
      <c r="E26" s="893"/>
      <c r="F26" s="894" t="s">
        <v>1240</v>
      </c>
      <c r="G26" s="895"/>
      <c r="H26" s="896" t="s">
        <v>532</v>
      </c>
      <c r="I26" s="954" t="s">
        <v>1227</v>
      </c>
      <c r="J26" s="66" t="s">
        <v>1778</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1146</v>
      </c>
      <c r="K27" s="311"/>
      <c r="M27" s="833" t="str">
        <f>IF(ISBLANK(J27),"未入力あり","〇")</f>
        <v>〇</v>
      </c>
      <c r="O27" s="118"/>
    </row>
    <row r="28" spans="1:21" ht="14.25" thickBot="1">
      <c r="A28" s="289">
        <v>28</v>
      </c>
      <c r="C28" s="312"/>
      <c r="D28" s="312"/>
      <c r="E28" s="889" t="s">
        <v>1235</v>
      </c>
      <c r="F28" s="890" t="s">
        <v>1537</v>
      </c>
      <c r="G28" s="891"/>
      <c r="H28" s="892"/>
      <c r="I28" s="955"/>
      <c r="J28" s="1108"/>
      <c r="K28" s="322"/>
      <c r="M28" s="834"/>
      <c r="O28" s="118"/>
    </row>
    <row r="29" spans="1:21" ht="14.25" thickBot="1">
      <c r="A29" s="289">
        <v>29</v>
      </c>
      <c r="C29" s="312"/>
      <c r="D29" s="312"/>
      <c r="E29" s="910" t="s">
        <v>1231</v>
      </c>
      <c r="F29" s="911"/>
      <c r="G29" s="912"/>
      <c r="H29" s="913"/>
      <c r="I29" s="956" t="s">
        <v>533</v>
      </c>
      <c r="J29" s="66" t="s">
        <v>1778</v>
      </c>
      <c r="K29" s="829"/>
      <c r="M29" s="833" t="str">
        <f>IF(ISBLANK(J29),"未入力あり","〇")</f>
        <v>〇</v>
      </c>
      <c r="O29" s="118"/>
    </row>
    <row r="30" spans="1:21" ht="31.5" customHeight="1" thickBot="1">
      <c r="A30" s="289">
        <v>30</v>
      </c>
      <c r="C30" s="312"/>
      <c r="D30" s="312"/>
      <c r="E30" s="914"/>
      <c r="F30" s="1258" t="s">
        <v>1232</v>
      </c>
      <c r="G30" s="1259"/>
      <c r="H30" s="1260"/>
      <c r="I30" s="957"/>
      <c r="J30" s="1109"/>
      <c r="K30" s="829"/>
      <c r="O30" s="118"/>
    </row>
    <row r="31" spans="1:21" ht="19.5" customHeight="1" thickBot="1">
      <c r="A31" s="289">
        <v>31</v>
      </c>
      <c r="C31" s="312"/>
      <c r="D31" s="312"/>
      <c r="E31" s="914"/>
      <c r="F31" s="894" t="s">
        <v>1236</v>
      </c>
      <c r="G31" s="915"/>
      <c r="H31" s="916" t="s">
        <v>1296</v>
      </c>
      <c r="I31" s="957" t="s">
        <v>1268</v>
      </c>
      <c r="J31" s="66" t="s">
        <v>1778</v>
      </c>
      <c r="K31" s="829"/>
      <c r="M31" s="833" t="str">
        <f t="shared" ref="M31:M37" si="2">IF(ISBLANK(J31),"未入力あり","〇")</f>
        <v>〇</v>
      </c>
      <c r="O31" s="118"/>
    </row>
    <row r="32" spans="1:21" ht="14.25" thickBot="1">
      <c r="A32" s="289">
        <v>32</v>
      </c>
      <c r="C32" s="312"/>
      <c r="D32" s="312"/>
      <c r="E32" s="893"/>
      <c r="F32" s="917"/>
      <c r="G32" s="915"/>
      <c r="H32" s="896" t="s">
        <v>534</v>
      </c>
      <c r="I32" s="954" t="s">
        <v>1233</v>
      </c>
      <c r="J32" s="66" t="s">
        <v>1778</v>
      </c>
      <c r="K32" s="309"/>
      <c r="M32" s="833" t="str">
        <f t="shared" si="2"/>
        <v>〇</v>
      </c>
      <c r="O32" s="118"/>
    </row>
    <row r="33" spans="1:21" ht="14.25" thickBot="1">
      <c r="A33" s="289">
        <v>33</v>
      </c>
      <c r="C33" s="312"/>
      <c r="D33" s="312"/>
      <c r="E33" s="893"/>
      <c r="F33" s="897"/>
      <c r="G33" s="906"/>
      <c r="H33" s="918" t="s">
        <v>535</v>
      </c>
      <c r="I33" s="958" t="s">
        <v>536</v>
      </c>
      <c r="J33" s="66" t="s">
        <v>1777</v>
      </c>
      <c r="K33" s="338"/>
      <c r="M33" s="833" t="str">
        <f t="shared" si="2"/>
        <v>〇</v>
      </c>
      <c r="O33" s="118"/>
    </row>
    <row r="34" spans="1:21" ht="14.25" thickBot="1">
      <c r="A34" s="289">
        <v>34</v>
      </c>
      <c r="C34" s="312"/>
      <c r="D34" s="312"/>
      <c r="E34" s="893"/>
      <c r="F34" s="894" t="s">
        <v>1237</v>
      </c>
      <c r="G34" s="895"/>
      <c r="H34" s="896" t="s">
        <v>537</v>
      </c>
      <c r="I34" s="954" t="s">
        <v>1233</v>
      </c>
      <c r="J34" s="66" t="s">
        <v>1778</v>
      </c>
      <c r="K34" s="309"/>
      <c r="M34" s="833" t="str">
        <f t="shared" si="2"/>
        <v>〇</v>
      </c>
      <c r="O34" s="118"/>
    </row>
    <row r="35" spans="1:21" ht="14.25" thickBot="1">
      <c r="A35" s="289">
        <v>35</v>
      </c>
      <c r="C35" s="312"/>
      <c r="D35" s="312"/>
      <c r="E35" s="893"/>
      <c r="F35" s="897"/>
      <c r="G35" s="898"/>
      <c r="H35" s="899" t="s">
        <v>538</v>
      </c>
      <c r="I35" s="952" t="s">
        <v>1228</v>
      </c>
      <c r="J35" s="66" t="s">
        <v>1778</v>
      </c>
      <c r="K35" s="311"/>
      <c r="M35" s="833" t="str">
        <f t="shared" si="2"/>
        <v>〇</v>
      </c>
      <c r="O35" s="118"/>
    </row>
    <row r="36" spans="1:21" ht="14.25" thickBot="1">
      <c r="A36" s="289">
        <v>36</v>
      </c>
      <c r="C36" s="312"/>
      <c r="D36" s="312"/>
      <c r="E36" s="893"/>
      <c r="F36" s="894" t="s">
        <v>1238</v>
      </c>
      <c r="G36" s="895"/>
      <c r="H36" s="896" t="s">
        <v>539</v>
      </c>
      <c r="I36" s="959" t="str">
        <f>IF(J29="はい","C",IF(J29="いいえ","-","C／-"))</f>
        <v>C</v>
      </c>
      <c r="J36" s="66" t="s">
        <v>1778</v>
      </c>
      <c r="K36" s="309"/>
      <c r="M36" s="833" t="str">
        <f t="shared" si="2"/>
        <v>〇</v>
      </c>
      <c r="O36" s="118"/>
    </row>
    <row r="37" spans="1:21" ht="14.25" thickBot="1">
      <c r="A37" s="289">
        <v>37</v>
      </c>
      <c r="C37" s="312"/>
      <c r="D37" s="312"/>
      <c r="E37" s="893"/>
      <c r="F37" s="897"/>
      <c r="G37" s="898"/>
      <c r="H37" s="899" t="s">
        <v>540</v>
      </c>
      <c r="I37" s="959" t="str">
        <f>IF(J29="はい","C",IF(J29="いいえ","-","C／-"))</f>
        <v>C</v>
      </c>
      <c r="J37" s="66" t="s">
        <v>1778</v>
      </c>
      <c r="K37" s="311"/>
      <c r="M37" s="833" t="str">
        <f t="shared" si="2"/>
        <v>〇</v>
      </c>
      <c r="O37" s="118"/>
    </row>
    <row r="38" spans="1:21" ht="14.25" thickBot="1">
      <c r="A38" s="289">
        <v>38</v>
      </c>
      <c r="C38" s="312"/>
      <c r="D38" s="312"/>
      <c r="E38" s="893"/>
      <c r="F38" s="894" t="s">
        <v>1239</v>
      </c>
      <c r="G38" s="919"/>
      <c r="H38" s="920" t="s">
        <v>541</v>
      </c>
      <c r="I38" s="959" t="str">
        <f>IF(J29="はい","A",IF(J29="いいえ","-","A／-"))</f>
        <v>A</v>
      </c>
      <c r="J38" s="66" t="s">
        <v>1778</v>
      </c>
      <c r="K38" s="339"/>
      <c r="M38" s="832" t="str">
        <f>+IF(I38="A",IF(ISBLANK(J38),"未入力あり",IF(J38="はい","○","×")),"")</f>
        <v>○</v>
      </c>
      <c r="O38" s="118"/>
    </row>
    <row r="39" spans="1:21" ht="36" customHeight="1" thickBot="1">
      <c r="A39" s="289">
        <v>39</v>
      </c>
      <c r="C39" s="312"/>
      <c r="D39" s="312"/>
      <c r="E39" s="893"/>
      <c r="F39" s="897"/>
      <c r="G39" s="906"/>
      <c r="H39" s="921" t="s">
        <v>1538</v>
      </c>
      <c r="I39" s="960" t="s">
        <v>533</v>
      </c>
      <c r="J39" s="66" t="s">
        <v>1777</v>
      </c>
      <c r="K39" s="340"/>
      <c r="M39" s="310" t="str">
        <f>IF(ISBLANK(J39),"未入力あり","〇")</f>
        <v>〇</v>
      </c>
      <c r="O39" s="118"/>
    </row>
    <row r="40" spans="1:21" ht="41.25" thickBot="1">
      <c r="A40" s="289">
        <v>40</v>
      </c>
      <c r="C40" s="312"/>
      <c r="D40" s="312"/>
      <c r="E40" s="893"/>
      <c r="F40" s="894" t="s">
        <v>1240</v>
      </c>
      <c r="G40" s="895"/>
      <c r="H40" s="896" t="s">
        <v>1539</v>
      </c>
      <c r="I40" s="959" t="str">
        <f>IF(J29="はい","A",IF(J29="いいえ","-","A／-"))</f>
        <v>A</v>
      </c>
      <c r="J40" s="66" t="s">
        <v>1778</v>
      </c>
      <c r="K40" s="309"/>
      <c r="M40" s="832" t="str">
        <f>+IF(I40="A",IF(ISBLANK(J40),"未入力あり",IF(J40="はい","○","×")),"")</f>
        <v>○</v>
      </c>
      <c r="O40" s="118"/>
    </row>
    <row r="41" spans="1:21" ht="36" customHeight="1" thickBot="1">
      <c r="A41" s="289">
        <v>41</v>
      </c>
      <c r="C41" s="312"/>
      <c r="D41" s="312"/>
      <c r="E41" s="893"/>
      <c r="F41" s="893"/>
      <c r="G41" s="915"/>
      <c r="H41" s="922" t="s">
        <v>1540</v>
      </c>
      <c r="I41" s="961" t="s">
        <v>536</v>
      </c>
      <c r="J41" s="66" t="s">
        <v>1777</v>
      </c>
      <c r="K41" s="341"/>
      <c r="M41" s="310" t="str">
        <f>IF(ISBLANK(J41),"未入力あり","〇")</f>
        <v>〇</v>
      </c>
      <c r="O41" s="118"/>
    </row>
    <row r="42" spans="1:21" ht="34.5" customHeight="1" thickBot="1">
      <c r="A42" s="289">
        <v>42</v>
      </c>
      <c r="C42" s="312"/>
      <c r="D42" s="312"/>
      <c r="E42" s="893"/>
      <c r="F42" s="897"/>
      <c r="G42" s="906"/>
      <c r="H42" s="923" t="s">
        <v>1541</v>
      </c>
      <c r="I42" s="960" t="s">
        <v>533</v>
      </c>
      <c r="J42" s="66" t="s">
        <v>1777</v>
      </c>
      <c r="K42" s="340"/>
      <c r="M42" s="310" t="str">
        <f>IF(ISBLANK(J42),"未入力あり","〇")</f>
        <v>〇</v>
      </c>
      <c r="O42" s="118"/>
    </row>
    <row r="43" spans="1:21" ht="30.75" customHeight="1" thickBot="1">
      <c r="A43" s="289">
        <v>43</v>
      </c>
      <c r="C43" s="312"/>
      <c r="D43" s="312"/>
      <c r="E43" s="893"/>
      <c r="F43" s="894" t="s">
        <v>1241</v>
      </c>
      <c r="G43" s="895"/>
      <c r="H43" s="896" t="s">
        <v>1542</v>
      </c>
      <c r="I43" s="959" t="str">
        <f>IF(J29="はい","A",IF(J29="いいえ","-","A／-"))</f>
        <v>A</v>
      </c>
      <c r="J43" s="66" t="s">
        <v>1778</v>
      </c>
      <c r="K43" s="342"/>
      <c r="M43" s="832" t="str">
        <f>+IF(I43="A",IF(ISBLANK(J43),"未入力あり",IF(J43="はい","○","×")),"")</f>
        <v>○</v>
      </c>
      <c r="O43" s="118"/>
    </row>
    <row r="44" spans="1:21" ht="33.75" customHeight="1" thickBot="1">
      <c r="A44" s="289">
        <v>44</v>
      </c>
      <c r="C44" s="312"/>
      <c r="D44" s="312"/>
      <c r="E44" s="893"/>
      <c r="F44" s="893"/>
      <c r="G44" s="915"/>
      <c r="H44" s="924" t="s">
        <v>1543</v>
      </c>
      <c r="I44" s="954" t="s">
        <v>536</v>
      </c>
      <c r="J44" s="288">
        <v>202204</v>
      </c>
      <c r="K44" s="341" t="s">
        <v>542</v>
      </c>
      <c r="M44" s="310" t="str">
        <f t="shared" ref="M44:M46" si="3">IF(ISBLANK(J44),"未入力あり","〇")</f>
        <v>〇</v>
      </c>
      <c r="O44" s="118"/>
      <c r="U44" s="334"/>
    </row>
    <row r="45" spans="1:21" ht="36" customHeight="1" thickBot="1">
      <c r="A45" s="289">
        <v>45</v>
      </c>
      <c r="C45" s="312"/>
      <c r="D45" s="312"/>
      <c r="E45" s="893"/>
      <c r="F45" s="893"/>
      <c r="G45" s="915"/>
      <c r="H45" s="925" t="s">
        <v>1544</v>
      </c>
      <c r="I45" s="962" t="s">
        <v>536</v>
      </c>
      <c r="J45" s="100" t="s">
        <v>1779</v>
      </c>
      <c r="K45" s="341"/>
      <c r="M45" s="310" t="str">
        <f t="shared" si="3"/>
        <v>〇</v>
      </c>
      <c r="O45" s="118"/>
    </row>
    <row r="46" spans="1:21" ht="35.25" customHeight="1" thickBot="1">
      <c r="A46" s="289">
        <v>46</v>
      </c>
      <c r="C46" s="312"/>
      <c r="D46" s="312"/>
      <c r="E46" s="893"/>
      <c r="F46" s="893"/>
      <c r="G46" s="915"/>
      <c r="H46" s="926" t="s">
        <v>1545</v>
      </c>
      <c r="I46" s="963" t="s">
        <v>536</v>
      </c>
      <c r="J46" s="66" t="s">
        <v>1778</v>
      </c>
      <c r="K46" s="344"/>
      <c r="M46" s="310" t="str">
        <f t="shared" si="3"/>
        <v>〇</v>
      </c>
      <c r="O46" s="118"/>
    </row>
    <row r="47" spans="1:21" ht="27.75" thickBot="1">
      <c r="A47" s="289">
        <v>47</v>
      </c>
      <c r="C47" s="312"/>
      <c r="D47" s="312"/>
      <c r="E47" s="893"/>
      <c r="F47" s="927" t="s">
        <v>1242</v>
      </c>
      <c r="G47" s="908"/>
      <c r="H47" s="909" t="s">
        <v>1546</v>
      </c>
      <c r="I47" s="959" t="str">
        <f>IF(J29="はい","C",IF(J29="いいえ","-","C／-"))</f>
        <v>C</v>
      </c>
      <c r="J47" s="66" t="s">
        <v>1778</v>
      </c>
      <c r="K47" s="345"/>
      <c r="M47" s="310" t="str">
        <f>IF(ISBLANK(J47),"未入力あり","〇")</f>
        <v>〇</v>
      </c>
      <c r="O47" s="118"/>
    </row>
    <row r="48" spans="1:21" ht="14.25" thickBot="1">
      <c r="A48" s="289">
        <v>48</v>
      </c>
      <c r="C48" s="312"/>
      <c r="D48" s="312"/>
      <c r="E48" s="893"/>
      <c r="F48" s="927" t="s">
        <v>1243</v>
      </c>
      <c r="G48" s="908"/>
      <c r="H48" s="909" t="s">
        <v>543</v>
      </c>
      <c r="I48" s="953" t="s">
        <v>1227</v>
      </c>
      <c r="J48" s="66" t="s">
        <v>1778</v>
      </c>
      <c r="K48" s="336"/>
      <c r="M48" s="310" t="str">
        <f>+IF(I48="A",IF(ISBLANK(J48),"未入力あり",IF(J48="はい","○","×")),"")</f>
        <v>○</v>
      </c>
      <c r="O48" s="118"/>
    </row>
    <row r="49" spans="1:15" ht="27.75" thickBot="1">
      <c r="A49" s="289">
        <v>49</v>
      </c>
      <c r="C49" s="312"/>
      <c r="D49" s="312"/>
      <c r="E49" s="897"/>
      <c r="F49" s="897" t="s">
        <v>1244</v>
      </c>
      <c r="G49" s="898"/>
      <c r="H49" s="928" t="s">
        <v>544</v>
      </c>
      <c r="I49" s="964" t="s">
        <v>1227</v>
      </c>
      <c r="J49" s="66" t="s">
        <v>1778</v>
      </c>
      <c r="K49" s="969" t="s">
        <v>1407</v>
      </c>
      <c r="M49" s="310" t="str">
        <f>+IF(I49="A",IF(ISBLANK(J49),"未入力あり",IF(J49="はい","○","×")),"")</f>
        <v>○</v>
      </c>
      <c r="O49" s="118"/>
    </row>
    <row r="50" spans="1:15" ht="14.25" thickBot="1">
      <c r="A50" s="289">
        <v>50</v>
      </c>
      <c r="C50" s="312"/>
      <c r="D50" s="312"/>
      <c r="E50" s="889" t="s">
        <v>1234</v>
      </c>
      <c r="F50" s="890" t="s">
        <v>545</v>
      </c>
      <c r="G50" s="891"/>
      <c r="H50" s="892"/>
      <c r="I50" s="965"/>
      <c r="J50" s="1110"/>
      <c r="K50" s="322"/>
      <c r="O50" s="118"/>
    </row>
    <row r="51" spans="1:15" ht="27.75" thickBot="1">
      <c r="A51" s="289">
        <v>51</v>
      </c>
      <c r="C51" s="312"/>
      <c r="D51" s="312"/>
      <c r="E51" s="893"/>
      <c r="F51" s="894" t="s">
        <v>1236</v>
      </c>
      <c r="G51" s="895"/>
      <c r="H51" s="896" t="s">
        <v>546</v>
      </c>
      <c r="I51" s="954" t="s">
        <v>1233</v>
      </c>
      <c r="J51" s="66" t="s">
        <v>1778</v>
      </c>
      <c r="K51" s="309"/>
      <c r="M51" s="310" t="str">
        <f>IF(ISBLANK(J51),"未入力あり","〇")</f>
        <v>〇</v>
      </c>
      <c r="O51" s="118"/>
    </row>
    <row r="52" spans="1:15" ht="14.25" thickBot="1">
      <c r="A52" s="289">
        <v>52</v>
      </c>
      <c r="C52" s="312"/>
      <c r="D52" s="312"/>
      <c r="E52" s="893"/>
      <c r="F52" s="894" t="s">
        <v>1237</v>
      </c>
      <c r="G52" s="895"/>
      <c r="H52" s="896" t="s">
        <v>1471</v>
      </c>
      <c r="I52" s="954" t="s">
        <v>1227</v>
      </c>
      <c r="J52" s="66" t="s">
        <v>1778</v>
      </c>
      <c r="K52" s="309"/>
      <c r="M52" s="310" t="str">
        <f t="shared" ref="M52:M108" si="4">+IF(I52="A",IF(ISBLANK(J52),"未入力あり",IF(J52="はい","○","×")),"")</f>
        <v>○</v>
      </c>
      <c r="O52" s="118"/>
    </row>
    <row r="53" spans="1:15" ht="27.75" thickBot="1">
      <c r="A53" s="289">
        <v>53</v>
      </c>
      <c r="C53" s="312"/>
      <c r="D53" s="312"/>
      <c r="E53" s="893"/>
      <c r="F53" s="897"/>
      <c r="G53" s="898"/>
      <c r="H53" s="899" t="s">
        <v>547</v>
      </c>
      <c r="I53" s="966" t="s">
        <v>1227</v>
      </c>
      <c r="J53" s="66" t="s">
        <v>1778</v>
      </c>
      <c r="K53" s="311"/>
      <c r="M53" s="310" t="str">
        <f t="shared" si="4"/>
        <v>○</v>
      </c>
      <c r="O53" s="118"/>
    </row>
    <row r="54" spans="1:15" ht="27.75" thickBot="1">
      <c r="A54" s="289">
        <v>54</v>
      </c>
      <c r="C54" s="312"/>
      <c r="D54" s="312"/>
      <c r="E54" s="893"/>
      <c r="F54" s="893" t="s">
        <v>1238</v>
      </c>
      <c r="G54" s="915"/>
      <c r="H54" s="900" t="s">
        <v>1547</v>
      </c>
      <c r="I54" s="951" t="s">
        <v>1227</v>
      </c>
      <c r="J54" s="66" t="s">
        <v>1778</v>
      </c>
      <c r="K54" s="328" t="s">
        <v>548</v>
      </c>
      <c r="M54" s="310" t="str">
        <f t="shared" si="4"/>
        <v>○</v>
      </c>
      <c r="O54" s="118"/>
    </row>
    <row r="55" spans="1:15" ht="27.75" thickBot="1">
      <c r="A55" s="289">
        <v>55</v>
      </c>
      <c r="C55" s="312"/>
      <c r="D55" s="312"/>
      <c r="E55" s="893"/>
      <c r="F55" s="893"/>
      <c r="G55" s="901" t="s">
        <v>515</v>
      </c>
      <c r="H55" s="902" t="s">
        <v>549</v>
      </c>
      <c r="I55" s="949" t="s">
        <v>1227</v>
      </c>
      <c r="J55" s="66" t="s">
        <v>1778</v>
      </c>
      <c r="K55" s="330"/>
      <c r="M55" s="310" t="str">
        <f t="shared" si="4"/>
        <v>○</v>
      </c>
      <c r="O55" s="118"/>
    </row>
    <row r="56" spans="1:15" ht="27.75" thickBot="1">
      <c r="A56" s="289">
        <v>56</v>
      </c>
      <c r="C56" s="312"/>
      <c r="D56" s="312"/>
      <c r="E56" s="893"/>
      <c r="F56" s="893"/>
      <c r="G56" s="929" t="s">
        <v>517</v>
      </c>
      <c r="H56" s="902" t="s">
        <v>1548</v>
      </c>
      <c r="I56" s="949" t="s">
        <v>1227</v>
      </c>
      <c r="J56" s="66" t="s">
        <v>1778</v>
      </c>
      <c r="K56" s="970" t="s">
        <v>1558</v>
      </c>
      <c r="M56" s="310" t="str">
        <f t="shared" si="4"/>
        <v>○</v>
      </c>
      <c r="O56" s="118"/>
    </row>
    <row r="57" spans="1:15" ht="14.25" thickBot="1">
      <c r="A57" s="289">
        <v>57</v>
      </c>
      <c r="C57" s="312"/>
      <c r="D57" s="312"/>
      <c r="E57" s="893"/>
      <c r="F57" s="893"/>
      <c r="G57" s="930"/>
      <c r="H57" s="931" t="s">
        <v>550</v>
      </c>
      <c r="I57" s="967" t="s">
        <v>1227</v>
      </c>
      <c r="J57" s="66" t="s">
        <v>1778</v>
      </c>
      <c r="K57" s="346"/>
      <c r="M57" s="310" t="str">
        <f t="shared" si="4"/>
        <v>○</v>
      </c>
      <c r="O57" s="118"/>
    </row>
    <row r="58" spans="1:15" ht="14.25" thickBot="1">
      <c r="A58" s="289">
        <v>58</v>
      </c>
      <c r="C58" s="312"/>
      <c r="D58" s="312"/>
      <c r="E58" s="893"/>
      <c r="F58" s="894" t="s">
        <v>1239</v>
      </c>
      <c r="G58" s="895"/>
      <c r="H58" s="896" t="s">
        <v>551</v>
      </c>
      <c r="I58" s="954" t="s">
        <v>1227</v>
      </c>
      <c r="J58" s="66" t="s">
        <v>1778</v>
      </c>
      <c r="K58" s="309" t="s">
        <v>552</v>
      </c>
      <c r="M58" s="310" t="str">
        <f t="shared" si="4"/>
        <v>○</v>
      </c>
      <c r="O58" s="118"/>
    </row>
    <row r="59" spans="1:15" ht="14.25" thickBot="1">
      <c r="A59" s="289">
        <v>59</v>
      </c>
      <c r="C59" s="312"/>
      <c r="D59" s="312"/>
      <c r="E59" s="893"/>
      <c r="F59" s="893"/>
      <c r="G59" s="915"/>
      <c r="H59" s="932" t="s">
        <v>553</v>
      </c>
      <c r="I59" s="968" t="s">
        <v>1227</v>
      </c>
      <c r="J59" s="66" t="s">
        <v>1778</v>
      </c>
      <c r="K59" s="347"/>
      <c r="M59" s="310" t="str">
        <f t="shared" si="4"/>
        <v>○</v>
      </c>
      <c r="O59" s="118"/>
    </row>
    <row r="60" spans="1:15" ht="14.25" thickBot="1">
      <c r="A60" s="289">
        <v>60</v>
      </c>
      <c r="C60" s="312"/>
      <c r="D60" s="312"/>
      <c r="E60" s="893"/>
      <c r="F60" s="897"/>
      <c r="G60" s="898"/>
      <c r="H60" s="928" t="s">
        <v>554</v>
      </c>
      <c r="I60" s="964" t="s">
        <v>1227</v>
      </c>
      <c r="J60" s="66" t="s">
        <v>1778</v>
      </c>
      <c r="K60" s="340"/>
      <c r="M60" s="310" t="str">
        <f t="shared" si="4"/>
        <v>○</v>
      </c>
      <c r="O60" s="118"/>
    </row>
    <row r="61" spans="1:15" ht="27.75" thickBot="1">
      <c r="A61" s="289">
        <v>61</v>
      </c>
      <c r="C61" s="312"/>
      <c r="D61" s="312"/>
      <c r="E61" s="893"/>
      <c r="F61" s="893" t="s">
        <v>1240</v>
      </c>
      <c r="G61" s="915"/>
      <c r="H61" s="896" t="s">
        <v>555</v>
      </c>
      <c r="I61" s="954" t="s">
        <v>1227</v>
      </c>
      <c r="J61" s="66" t="s">
        <v>1778</v>
      </c>
      <c r="K61" s="309"/>
      <c r="M61" s="310" t="str">
        <f t="shared" si="4"/>
        <v>○</v>
      </c>
      <c r="O61" s="118"/>
    </row>
    <row r="62" spans="1:15" ht="14.25" thickBot="1">
      <c r="A62" s="289">
        <v>62</v>
      </c>
      <c r="C62" s="312"/>
      <c r="D62" s="312"/>
      <c r="E62" s="893"/>
      <c r="F62" s="893"/>
      <c r="G62" s="915"/>
      <c r="H62" s="899" t="s">
        <v>556</v>
      </c>
      <c r="I62" s="966" t="s">
        <v>1227</v>
      </c>
      <c r="J62" s="66" t="s">
        <v>1778</v>
      </c>
      <c r="K62" s="311"/>
      <c r="M62" s="310" t="str">
        <f t="shared" si="4"/>
        <v>○</v>
      </c>
      <c r="O62" s="118"/>
    </row>
    <row r="63" spans="1:15" ht="14.25" thickBot="1">
      <c r="A63" s="289">
        <v>63</v>
      </c>
      <c r="C63" s="312"/>
      <c r="D63" s="312"/>
      <c r="E63" s="893"/>
      <c r="F63" s="894" t="s">
        <v>1241</v>
      </c>
      <c r="G63" s="895"/>
      <c r="H63" s="900" t="s">
        <v>557</v>
      </c>
      <c r="I63" s="327" t="s">
        <v>1227</v>
      </c>
      <c r="J63" s="66" t="s">
        <v>1778</v>
      </c>
      <c r="K63" s="328"/>
      <c r="M63" s="310" t="str">
        <f t="shared" si="4"/>
        <v>○</v>
      </c>
      <c r="O63" s="118"/>
    </row>
    <row r="64" spans="1:15" ht="27.75" thickBot="1">
      <c r="A64" s="289">
        <v>64</v>
      </c>
      <c r="C64" s="312"/>
      <c r="D64" s="312"/>
      <c r="E64" s="893"/>
      <c r="F64" s="893"/>
      <c r="G64" s="901" t="s">
        <v>515</v>
      </c>
      <c r="H64" s="902" t="s">
        <v>558</v>
      </c>
      <c r="I64" s="329" t="s">
        <v>1227</v>
      </c>
      <c r="J64" s="66" t="s">
        <v>1778</v>
      </c>
      <c r="K64" s="330"/>
      <c r="M64" s="310" t="str">
        <f t="shared" si="4"/>
        <v>○</v>
      </c>
      <c r="O64" s="118"/>
    </row>
    <row r="65" spans="1:15" ht="27.75" thickBot="1">
      <c r="A65" s="289">
        <v>65</v>
      </c>
      <c r="C65" s="312"/>
      <c r="D65" s="312"/>
      <c r="E65" s="893"/>
      <c r="F65" s="897"/>
      <c r="G65" s="903" t="s">
        <v>517</v>
      </c>
      <c r="H65" s="904" t="s">
        <v>559</v>
      </c>
      <c r="I65" s="331" t="s">
        <v>1228</v>
      </c>
      <c r="J65" s="66" t="s">
        <v>1777</v>
      </c>
      <c r="K65" s="332" t="s">
        <v>560</v>
      </c>
      <c r="M65" s="310" t="str">
        <f>IF(ISBLANK(J65),"未入力あり","〇")</f>
        <v>〇</v>
      </c>
      <c r="O65" s="118"/>
    </row>
    <row r="66" spans="1:15" ht="41.25" thickBot="1">
      <c r="A66" s="289">
        <v>66</v>
      </c>
      <c r="C66" s="312"/>
      <c r="D66" s="312"/>
      <c r="E66" s="893"/>
      <c r="F66" s="893" t="s">
        <v>1242</v>
      </c>
      <c r="G66" s="915"/>
      <c r="H66" s="896" t="s">
        <v>561</v>
      </c>
      <c r="I66" s="335" t="s">
        <v>1227</v>
      </c>
      <c r="J66" s="66" t="s">
        <v>1778</v>
      </c>
      <c r="K66" s="336" t="s">
        <v>562</v>
      </c>
      <c r="M66" s="310" t="str">
        <f t="shared" si="4"/>
        <v>○</v>
      </c>
      <c r="O66" s="118"/>
    </row>
    <row r="67" spans="1:15" ht="14.25" thickBot="1">
      <c r="A67" s="289">
        <v>67</v>
      </c>
      <c r="C67" s="312"/>
      <c r="D67" s="312"/>
      <c r="E67" s="893"/>
      <c r="F67" s="893"/>
      <c r="G67" s="915"/>
      <c r="H67" s="899" t="s">
        <v>1247</v>
      </c>
      <c r="I67" s="953" t="s">
        <v>1233</v>
      </c>
      <c r="J67" s="971" t="s">
        <v>1777</v>
      </c>
      <c r="K67" s="972"/>
      <c r="M67" s="310" t="str">
        <f>IF(ISBLANK(J67),"未入力あり","〇")</f>
        <v>〇</v>
      </c>
      <c r="O67" s="118"/>
    </row>
    <row r="68" spans="1:15" ht="41.45" customHeight="1" thickBot="1">
      <c r="A68" s="289">
        <v>68</v>
      </c>
      <c r="C68" s="312"/>
      <c r="D68" s="312"/>
      <c r="E68" s="893"/>
      <c r="F68" s="927" t="s">
        <v>1243</v>
      </c>
      <c r="G68" s="908"/>
      <c r="H68" s="909" t="s">
        <v>1549</v>
      </c>
      <c r="I68" s="953" t="s">
        <v>1227</v>
      </c>
      <c r="J68" s="971" t="s">
        <v>1778</v>
      </c>
      <c r="K68" s="972"/>
      <c r="M68" s="310" t="str">
        <f t="shared" si="4"/>
        <v>○</v>
      </c>
      <c r="O68" s="118"/>
    </row>
    <row r="69" spans="1:15" ht="27.75" thickBot="1">
      <c r="A69" s="289">
        <v>69</v>
      </c>
      <c r="C69" s="312"/>
      <c r="D69" s="312"/>
      <c r="E69" s="893"/>
      <c r="F69" s="893" t="s">
        <v>1244</v>
      </c>
      <c r="G69" s="915"/>
      <c r="H69" s="909" t="s">
        <v>563</v>
      </c>
      <c r="I69" s="953" t="s">
        <v>1227</v>
      </c>
      <c r="J69" s="971" t="s">
        <v>1778</v>
      </c>
      <c r="K69" s="972"/>
      <c r="M69" s="310" t="str">
        <f t="shared" si="4"/>
        <v>○</v>
      </c>
      <c r="O69" s="118"/>
    </row>
    <row r="70" spans="1:15" ht="14.25" thickBot="1">
      <c r="A70" s="289">
        <v>70</v>
      </c>
      <c r="C70" s="312"/>
      <c r="D70" s="312"/>
      <c r="E70" s="893"/>
      <c r="F70" s="894" t="s">
        <v>1245</v>
      </c>
      <c r="G70" s="895"/>
      <c r="H70" s="900" t="s">
        <v>564</v>
      </c>
      <c r="I70" s="951" t="s">
        <v>1227</v>
      </c>
      <c r="J70" s="971" t="s">
        <v>1778</v>
      </c>
      <c r="K70" s="973" t="s">
        <v>565</v>
      </c>
      <c r="M70" s="310" t="str">
        <f t="shared" si="4"/>
        <v>○</v>
      </c>
      <c r="O70" s="118"/>
    </row>
    <row r="71" spans="1:15" ht="14.25" thickBot="1">
      <c r="A71" s="289">
        <v>71</v>
      </c>
      <c r="C71" s="312"/>
      <c r="D71" s="312"/>
      <c r="E71" s="893"/>
      <c r="F71" s="893"/>
      <c r="G71" s="929" t="s">
        <v>515</v>
      </c>
      <c r="H71" s="933" t="s">
        <v>566</v>
      </c>
      <c r="I71" s="974" t="s">
        <v>1227</v>
      </c>
      <c r="J71" s="971" t="s">
        <v>1778</v>
      </c>
      <c r="K71" s="975"/>
      <c r="M71" s="310" t="str">
        <f>+IF(I71="A",IF(ISBLANK(J71),"未入力あり",IF(J71="はい","○","×")),"")</f>
        <v>○</v>
      </c>
      <c r="O71" s="118"/>
    </row>
    <row r="72" spans="1:15" ht="27.75" thickBot="1">
      <c r="A72" s="289">
        <v>72</v>
      </c>
      <c r="C72" s="312"/>
      <c r="D72" s="312"/>
      <c r="E72" s="893"/>
      <c r="F72" s="893"/>
      <c r="G72" s="934"/>
      <c r="H72" s="933" t="s">
        <v>567</v>
      </c>
      <c r="I72" s="976" t="s">
        <v>1227</v>
      </c>
      <c r="J72" s="977" t="str">
        <f>+IF(AND(ISBLANK(J73),ISBLANK(J74)),"",IF(OR(J73="はい",J74="はい"),"はい","いいえ "))</f>
        <v>はい</v>
      </c>
      <c r="K72" s="975" t="s">
        <v>1559</v>
      </c>
      <c r="M72" s="310" t="str">
        <f>+IF(I72="A",IF(AND(ISBLANK(J73),ISBLANK(J74)),"未入力あり",IF(J72="はい","○","×")),"")</f>
        <v>○</v>
      </c>
      <c r="O72" s="118"/>
    </row>
    <row r="73" spans="1:15" ht="14.25" thickBot="1">
      <c r="A73" s="289">
        <v>73</v>
      </c>
      <c r="C73" s="312"/>
      <c r="D73" s="312"/>
      <c r="E73" s="893"/>
      <c r="F73" s="893"/>
      <c r="G73" s="934"/>
      <c r="H73" s="935" t="s">
        <v>568</v>
      </c>
      <c r="I73" s="350" t="s">
        <v>533</v>
      </c>
      <c r="J73" s="66" t="s">
        <v>1777</v>
      </c>
      <c r="K73" s="341"/>
      <c r="M73" s="310" t="str">
        <f>IF(ISBLANK(J73),"未入力あり","〇")</f>
        <v>〇</v>
      </c>
      <c r="O73" s="118"/>
    </row>
    <row r="74" spans="1:15" ht="14.25" thickBot="1">
      <c r="A74" s="289">
        <v>74</v>
      </c>
      <c r="C74" s="312"/>
      <c r="D74" s="312"/>
      <c r="E74" s="893"/>
      <c r="F74" s="893"/>
      <c r="G74" s="934"/>
      <c r="H74" s="936" t="s">
        <v>569</v>
      </c>
      <c r="I74" s="351" t="s">
        <v>533</v>
      </c>
      <c r="J74" s="66" t="s">
        <v>1778</v>
      </c>
      <c r="K74" s="352"/>
      <c r="M74" s="310" t="str">
        <f>IF(ISBLANK(J74),"未入力あり","〇")</f>
        <v>〇</v>
      </c>
      <c r="O74" s="118"/>
    </row>
    <row r="75" spans="1:15" ht="27" customHeight="1" thickBot="1">
      <c r="A75" s="289">
        <v>75</v>
      </c>
      <c r="C75" s="312"/>
      <c r="D75" s="312"/>
      <c r="E75" s="893"/>
      <c r="F75" s="893"/>
      <c r="G75" s="934"/>
      <c r="H75" s="902" t="s">
        <v>570</v>
      </c>
      <c r="I75" s="353" t="s">
        <v>1227</v>
      </c>
      <c r="J75" s="66" t="s">
        <v>1778</v>
      </c>
      <c r="K75" s="354"/>
      <c r="M75" s="310" t="str">
        <f>+IF(I75="A",IF(ISBLANK(J75),"未入力あり",IF(J75="はい","○","×")),"")</f>
        <v>○</v>
      </c>
      <c r="O75" s="118"/>
    </row>
    <row r="76" spans="1:15" ht="14.25" thickBot="1">
      <c r="A76" s="289">
        <v>76</v>
      </c>
      <c r="C76" s="312"/>
      <c r="D76" s="312"/>
      <c r="E76" s="893"/>
      <c r="F76" s="893"/>
      <c r="G76" s="929" t="s">
        <v>517</v>
      </c>
      <c r="H76" s="933" t="s">
        <v>571</v>
      </c>
      <c r="I76" s="974" t="s">
        <v>1233</v>
      </c>
      <c r="J76" s="66" t="s">
        <v>1778</v>
      </c>
      <c r="K76" s="349"/>
      <c r="M76" s="310" t="str">
        <f>IF(ISBLANK(J76),"未入力あり","〇")</f>
        <v>〇</v>
      </c>
      <c r="O76" s="118"/>
    </row>
    <row r="77" spans="1:15" ht="27.75" thickBot="1">
      <c r="A77" s="289">
        <v>77</v>
      </c>
      <c r="C77" s="312"/>
      <c r="D77" s="312"/>
      <c r="E77" s="893"/>
      <c r="F77" s="893"/>
      <c r="G77" s="934"/>
      <c r="H77" s="937" t="s">
        <v>572</v>
      </c>
      <c r="I77" s="355" t="s">
        <v>1227</v>
      </c>
      <c r="J77" s="66" t="s">
        <v>1778</v>
      </c>
      <c r="K77" s="356"/>
      <c r="M77" s="310" t="str">
        <f>+IF(I77="A",IF(ISBLANK(J77),"未入力あり",IF(J77="はい","○","×")),"")</f>
        <v>○</v>
      </c>
      <c r="O77" s="118"/>
    </row>
    <row r="78" spans="1:15" ht="14.25" thickBot="1">
      <c r="A78" s="289">
        <v>78</v>
      </c>
      <c r="C78" s="312"/>
      <c r="D78" s="312"/>
      <c r="E78" s="893"/>
      <c r="F78" s="897"/>
      <c r="G78" s="930"/>
      <c r="H78" s="938" t="s">
        <v>573</v>
      </c>
      <c r="I78" s="357" t="s">
        <v>1227</v>
      </c>
      <c r="J78" s="66" t="s">
        <v>1778</v>
      </c>
      <c r="K78" s="358"/>
      <c r="M78" s="310" t="str">
        <f>+IF(I78="A",IF(ISBLANK(J78),"未入力あり",IF(J78="はい","○","×")),"")</f>
        <v>○</v>
      </c>
      <c r="O78" s="118"/>
    </row>
    <row r="79" spans="1:15" ht="32.25" customHeight="1" thickBot="1">
      <c r="A79" s="289">
        <v>79</v>
      </c>
      <c r="C79" s="312"/>
      <c r="D79" s="312"/>
      <c r="E79" s="893"/>
      <c r="F79" s="894" t="s">
        <v>1246</v>
      </c>
      <c r="G79" s="895"/>
      <c r="H79" s="896" t="s">
        <v>574</v>
      </c>
      <c r="I79" s="324" t="s">
        <v>1227</v>
      </c>
      <c r="J79" s="66" t="s">
        <v>1778</v>
      </c>
      <c r="K79" s="309" t="s">
        <v>575</v>
      </c>
      <c r="M79" s="310" t="str">
        <f>+IF(I79="A",IF(ISBLANK(J79),"未入力あり",IF(J79="はい","○","×")),"")</f>
        <v>○</v>
      </c>
      <c r="O79" s="118"/>
    </row>
    <row r="80" spans="1:15" ht="14.25" thickBot="1">
      <c r="A80" s="289">
        <v>80</v>
      </c>
      <c r="C80" s="312"/>
      <c r="D80" s="312"/>
      <c r="E80" s="897"/>
      <c r="F80" s="897"/>
      <c r="G80" s="898"/>
      <c r="H80" s="899" t="s">
        <v>576</v>
      </c>
      <c r="I80" s="326" t="s">
        <v>1227</v>
      </c>
      <c r="J80" s="66" t="s">
        <v>1778</v>
      </c>
      <c r="K80" s="311"/>
      <c r="M80" s="310" t="str">
        <f>+IF(I80="A",IF(ISBLANK(J80),"未入力あり",IF(J80="はい","○","×")),"")</f>
        <v>○</v>
      </c>
      <c r="O80" s="118"/>
    </row>
    <row r="81" spans="1:15" ht="14.25" thickBot="1">
      <c r="A81" s="289">
        <v>81</v>
      </c>
      <c r="C81" s="312"/>
      <c r="D81" s="312"/>
      <c r="E81" s="889" t="s">
        <v>1248</v>
      </c>
      <c r="F81" s="890" t="s">
        <v>577</v>
      </c>
      <c r="G81" s="891"/>
      <c r="H81" s="892"/>
      <c r="I81" s="321"/>
      <c r="J81" s="1110"/>
      <c r="K81" s="322"/>
      <c r="O81" s="118"/>
    </row>
    <row r="82" spans="1:15" ht="14.25" thickBot="1">
      <c r="A82" s="289">
        <v>82</v>
      </c>
      <c r="C82" s="312"/>
      <c r="D82" s="312"/>
      <c r="E82" s="893"/>
      <c r="F82" s="894" t="s">
        <v>1236</v>
      </c>
      <c r="G82" s="895"/>
      <c r="H82" s="900" t="s">
        <v>578</v>
      </c>
      <c r="I82" s="327" t="s">
        <v>1227</v>
      </c>
      <c r="J82" s="66" t="s">
        <v>1778</v>
      </c>
      <c r="K82" s="328"/>
      <c r="M82" s="310" t="str">
        <f>+IF(I82="A",IF(ISBLANK(J82),"未入力あり",IF(J82="はい","○","×")),"")</f>
        <v>○</v>
      </c>
      <c r="O82" s="118"/>
    </row>
    <row r="83" spans="1:15" ht="27.75" thickBot="1">
      <c r="A83" s="289">
        <v>83</v>
      </c>
      <c r="C83" s="312"/>
      <c r="D83" s="312"/>
      <c r="E83" s="893"/>
      <c r="F83" s="893"/>
      <c r="G83" s="929" t="s">
        <v>515</v>
      </c>
      <c r="H83" s="933" t="s">
        <v>579</v>
      </c>
      <c r="I83" s="348" t="s">
        <v>1227</v>
      </c>
      <c r="J83" s="66" t="s">
        <v>1778</v>
      </c>
      <c r="K83" s="349" t="s">
        <v>565</v>
      </c>
      <c r="M83" s="310" t="str">
        <f>+IF(I83="A",IF(ISBLANK(J83),"未入力あり",IF(J83="はい","○","×")),"")</f>
        <v>○</v>
      </c>
      <c r="O83" s="118"/>
    </row>
    <row r="84" spans="1:15" ht="27.75" thickBot="1">
      <c r="A84" s="289">
        <v>84</v>
      </c>
      <c r="C84" s="312"/>
      <c r="D84" s="312"/>
      <c r="E84" s="893"/>
      <c r="F84" s="893"/>
      <c r="G84" s="929" t="s">
        <v>517</v>
      </c>
      <c r="H84" s="933" t="s">
        <v>580</v>
      </c>
      <c r="I84" s="974" t="s">
        <v>1227</v>
      </c>
      <c r="J84" s="971" t="s">
        <v>1778</v>
      </c>
      <c r="K84" s="975"/>
      <c r="M84" s="310" t="str">
        <f>+IF(I84="A",IF(ISBLANK(J84),"未入力あり",IF(J84="はい","○","×")),"")</f>
        <v>○</v>
      </c>
      <c r="O84" s="118"/>
    </row>
    <row r="85" spans="1:15" ht="27.75" thickBot="1">
      <c r="A85" s="289">
        <v>85</v>
      </c>
      <c r="C85" s="312"/>
      <c r="D85" s="312"/>
      <c r="E85" s="893"/>
      <c r="F85" s="893"/>
      <c r="G85" s="929" t="s">
        <v>519</v>
      </c>
      <c r="H85" s="933" t="s">
        <v>581</v>
      </c>
      <c r="I85" s="974" t="s">
        <v>1233</v>
      </c>
      <c r="J85" s="971" t="s">
        <v>1778</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1233</v>
      </c>
      <c r="J86" s="971" t="s">
        <v>1778</v>
      </c>
      <c r="K86" s="978"/>
      <c r="M86" s="310" t="str">
        <f t="shared" si="5"/>
        <v>〇</v>
      </c>
      <c r="O86" s="118"/>
    </row>
    <row r="87" spans="1:15" ht="14.25" thickBot="1">
      <c r="A87" s="289">
        <v>87</v>
      </c>
      <c r="C87" s="312"/>
      <c r="D87" s="312"/>
      <c r="E87" s="893"/>
      <c r="F87" s="927" t="s">
        <v>1237</v>
      </c>
      <c r="G87" s="908"/>
      <c r="H87" s="909" t="s">
        <v>583</v>
      </c>
      <c r="I87" s="953" t="s">
        <v>1227</v>
      </c>
      <c r="J87" s="971" t="s">
        <v>1778</v>
      </c>
      <c r="K87" s="972"/>
      <c r="M87" s="310" t="str">
        <f>+IF(I87="A",IF(ISBLANK(J87),"未入力あり",IF(J87="はい","○","×")),"")</f>
        <v>○</v>
      </c>
      <c r="O87" s="118"/>
    </row>
    <row r="88" spans="1:15" ht="17.25" customHeight="1" thickBot="1">
      <c r="A88" s="289">
        <v>88</v>
      </c>
      <c r="C88" s="312"/>
      <c r="D88" s="312"/>
      <c r="E88" s="893"/>
      <c r="F88" s="893" t="s">
        <v>1238</v>
      </c>
      <c r="G88" s="915"/>
      <c r="H88" s="939" t="s">
        <v>1249</v>
      </c>
      <c r="I88" s="979" t="s">
        <v>1227</v>
      </c>
      <c r="J88" s="971" t="s">
        <v>1778</v>
      </c>
      <c r="K88" s="980"/>
      <c r="M88" s="310" t="str">
        <f t="shared" si="4"/>
        <v>○</v>
      </c>
      <c r="O88" s="118"/>
    </row>
    <row r="89" spans="1:15" ht="41.25" customHeight="1" thickBot="1">
      <c r="A89" s="289">
        <v>89</v>
      </c>
      <c r="C89" s="312"/>
      <c r="D89" s="312"/>
      <c r="E89" s="893"/>
      <c r="F89" s="893"/>
      <c r="G89" s="915"/>
      <c r="H89" s="940" t="s">
        <v>1250</v>
      </c>
      <c r="I89" s="981" t="s">
        <v>1227</v>
      </c>
      <c r="J89" s="971" t="s">
        <v>1778</v>
      </c>
      <c r="K89" s="980"/>
      <c r="M89" s="310" t="str">
        <f t="shared" si="4"/>
        <v>○</v>
      </c>
      <c r="O89" s="118"/>
    </row>
    <row r="90" spans="1:15" ht="27" customHeight="1" thickBot="1">
      <c r="A90" s="289">
        <v>90</v>
      </c>
      <c r="C90" s="312"/>
      <c r="D90" s="312"/>
      <c r="E90" s="893"/>
      <c r="F90" s="893"/>
      <c r="G90" s="915"/>
      <c r="H90" s="939" t="s">
        <v>1251</v>
      </c>
      <c r="I90" s="979" t="s">
        <v>1252</v>
      </c>
      <c r="J90" s="100" t="s">
        <v>1780</v>
      </c>
      <c r="K90" s="980"/>
      <c r="M90" s="310" t="str">
        <f>IF(ISBLANK(J90),"未入力あり","〇")</f>
        <v>〇</v>
      </c>
      <c r="O90" s="118"/>
    </row>
    <row r="91" spans="1:15" ht="27.75" thickBot="1">
      <c r="A91" s="289">
        <v>91</v>
      </c>
      <c r="C91" s="312"/>
      <c r="D91" s="312"/>
      <c r="E91" s="893"/>
      <c r="F91" s="927" t="s">
        <v>1239</v>
      </c>
      <c r="G91" s="908"/>
      <c r="H91" s="909" t="s">
        <v>584</v>
      </c>
      <c r="I91" s="953" t="s">
        <v>1233</v>
      </c>
      <c r="J91" s="971" t="s">
        <v>1778</v>
      </c>
      <c r="K91" s="972" t="s">
        <v>1560</v>
      </c>
      <c r="M91" s="310" t="str">
        <f>IF(ISBLANK(J91),"未入力あり","〇")</f>
        <v>〇</v>
      </c>
      <c r="O91" s="118"/>
    </row>
    <row r="92" spans="1:15" ht="27.75" thickBot="1">
      <c r="A92" s="289">
        <v>92</v>
      </c>
      <c r="C92" s="312"/>
      <c r="D92" s="312"/>
      <c r="E92" s="893"/>
      <c r="F92" s="893" t="s">
        <v>1240</v>
      </c>
      <c r="G92" s="915"/>
      <c r="H92" s="939" t="s">
        <v>585</v>
      </c>
      <c r="I92" s="979" t="s">
        <v>1227</v>
      </c>
      <c r="J92" s="971" t="s">
        <v>1778</v>
      </c>
      <c r="K92" s="980"/>
      <c r="M92" s="310" t="str">
        <f t="shared" si="4"/>
        <v>○</v>
      </c>
      <c r="O92" s="118"/>
    </row>
    <row r="93" spans="1:15" ht="27.75" thickBot="1">
      <c r="A93" s="289">
        <v>93</v>
      </c>
      <c r="C93" s="312"/>
      <c r="D93" s="312"/>
      <c r="E93" s="893"/>
      <c r="F93" s="927" t="s">
        <v>1241</v>
      </c>
      <c r="G93" s="908"/>
      <c r="H93" s="909" t="s">
        <v>586</v>
      </c>
      <c r="I93" s="953" t="s">
        <v>1227</v>
      </c>
      <c r="J93" s="971" t="s">
        <v>1778</v>
      </c>
      <c r="K93" s="972"/>
      <c r="M93" s="310" t="str">
        <f t="shared" si="4"/>
        <v>○</v>
      </c>
      <c r="O93" s="118"/>
    </row>
    <row r="94" spans="1:15" ht="27.75" thickBot="1">
      <c r="A94" s="289">
        <v>94</v>
      </c>
      <c r="C94" s="312"/>
      <c r="D94" s="312"/>
      <c r="E94" s="893"/>
      <c r="F94" s="893" t="s">
        <v>1242</v>
      </c>
      <c r="G94" s="915"/>
      <c r="H94" s="939" t="s">
        <v>1473</v>
      </c>
      <c r="I94" s="979" t="s">
        <v>1227</v>
      </c>
      <c r="J94" s="971" t="s">
        <v>1778</v>
      </c>
      <c r="K94" s="980"/>
      <c r="M94" s="310" t="str">
        <f t="shared" si="4"/>
        <v>○</v>
      </c>
      <c r="O94" s="118"/>
    </row>
    <row r="95" spans="1:15" ht="14.25" thickBot="1">
      <c r="A95" s="289">
        <v>95</v>
      </c>
      <c r="C95" s="312"/>
      <c r="D95" s="312"/>
      <c r="E95" s="893"/>
      <c r="F95" s="893"/>
      <c r="G95" s="915"/>
      <c r="H95" s="941" t="s">
        <v>1429</v>
      </c>
      <c r="I95" s="981" t="s">
        <v>1430</v>
      </c>
      <c r="J95" s="971" t="s">
        <v>1778</v>
      </c>
      <c r="K95" s="982" t="s">
        <v>1522</v>
      </c>
      <c r="M95" s="310" t="str">
        <f t="shared" ref="M95" si="6">IF(ISBLANK(J95),"未入力あり","〇")</f>
        <v>〇</v>
      </c>
      <c r="O95" s="118"/>
    </row>
    <row r="96" spans="1:15" ht="32.25" customHeight="1" thickBot="1">
      <c r="A96" s="289">
        <v>96</v>
      </c>
      <c r="C96" s="312"/>
      <c r="D96" s="312"/>
      <c r="E96" s="893"/>
      <c r="F96" s="893"/>
      <c r="G96" s="915"/>
      <c r="H96" s="899" t="s">
        <v>1474</v>
      </c>
      <c r="I96" s="952" t="s">
        <v>1227</v>
      </c>
      <c r="J96" s="971" t="s">
        <v>1778</v>
      </c>
      <c r="K96" s="983"/>
      <c r="M96" s="310" t="str">
        <f t="shared" si="4"/>
        <v>○</v>
      </c>
      <c r="O96" s="118"/>
    </row>
    <row r="97" spans="1:21" ht="38.25" customHeight="1" thickBot="1">
      <c r="A97" s="289">
        <v>97</v>
      </c>
      <c r="C97" s="312"/>
      <c r="D97" s="312"/>
      <c r="E97" s="897"/>
      <c r="F97" s="927" t="s">
        <v>1243</v>
      </c>
      <c r="G97" s="908"/>
      <c r="H97" s="909" t="s">
        <v>587</v>
      </c>
      <c r="I97" s="953" t="s">
        <v>1227</v>
      </c>
      <c r="J97" s="971" t="s">
        <v>1778</v>
      </c>
      <c r="K97" s="972" t="s">
        <v>588</v>
      </c>
      <c r="M97" s="310" t="str">
        <f>+IF(I97="A",IF(ISBLANK(J97),"未入力あり",IF(J97="はい","○","×")),"")</f>
        <v>○</v>
      </c>
      <c r="O97" s="118"/>
    </row>
    <row r="98" spans="1:21" ht="39" customHeight="1" thickBot="1">
      <c r="A98" s="289">
        <v>98</v>
      </c>
      <c r="C98" s="312"/>
      <c r="D98" s="312"/>
      <c r="E98" s="889" t="s">
        <v>1253</v>
      </c>
      <c r="F98" s="890" t="s">
        <v>589</v>
      </c>
      <c r="G98" s="891"/>
      <c r="H98" s="892"/>
      <c r="I98" s="965"/>
      <c r="J98" s="1111"/>
      <c r="K98" s="984" t="s">
        <v>1408</v>
      </c>
      <c r="O98" s="118"/>
    </row>
    <row r="99" spans="1:21" ht="27.75" thickBot="1">
      <c r="A99" s="289">
        <v>99</v>
      </c>
      <c r="C99" s="312"/>
      <c r="D99" s="312"/>
      <c r="E99" s="893"/>
      <c r="F99" s="894" t="s">
        <v>1412</v>
      </c>
      <c r="G99" s="895"/>
      <c r="H99" s="896" t="s">
        <v>590</v>
      </c>
      <c r="I99" s="324" t="s">
        <v>1227</v>
      </c>
      <c r="J99" s="66" t="s">
        <v>1778</v>
      </c>
      <c r="K99" s="309"/>
      <c r="M99" s="310" t="str">
        <f t="shared" si="4"/>
        <v>○</v>
      </c>
      <c r="O99" s="118"/>
    </row>
    <row r="100" spans="1:21" ht="14.25" thickBot="1">
      <c r="A100" s="289">
        <v>100</v>
      </c>
      <c r="C100" s="312"/>
      <c r="D100" s="312"/>
      <c r="E100" s="893"/>
      <c r="F100" s="893"/>
      <c r="G100" s="915"/>
      <c r="H100" s="932" t="s">
        <v>591</v>
      </c>
      <c r="I100" s="360" t="s">
        <v>1227</v>
      </c>
      <c r="J100" s="66" t="s">
        <v>1778</v>
      </c>
      <c r="K100" s="347"/>
      <c r="M100" s="310" t="str">
        <f t="shared" si="4"/>
        <v>○</v>
      </c>
      <c r="O100" s="118"/>
    </row>
    <row r="101" spans="1:21" ht="27.75" thickBot="1">
      <c r="A101" s="289">
        <v>101</v>
      </c>
      <c r="C101" s="312"/>
      <c r="D101" s="312"/>
      <c r="E101" s="893"/>
      <c r="F101" s="897"/>
      <c r="G101" s="906"/>
      <c r="H101" s="1191" t="s">
        <v>1703</v>
      </c>
      <c r="I101" s="361" t="s">
        <v>533</v>
      </c>
      <c r="J101" s="288">
        <v>2</v>
      </c>
      <c r="K101" s="362"/>
      <c r="M101" s="310" t="str">
        <f>IF(ISBLANK(J101),"未入力あり","〇")</f>
        <v>〇</v>
      </c>
      <c r="O101" s="118"/>
      <c r="T101" s="333"/>
      <c r="U101" s="363"/>
    </row>
    <row r="102" spans="1:21" ht="27.75" thickBot="1">
      <c r="A102" s="289">
        <v>102</v>
      </c>
      <c r="C102" s="312"/>
      <c r="D102" s="312"/>
      <c r="E102" s="893"/>
      <c r="F102" s="894" t="s">
        <v>1410</v>
      </c>
      <c r="G102" s="895"/>
      <c r="H102" s="896" t="s">
        <v>1550</v>
      </c>
      <c r="I102" s="324" t="s">
        <v>1227</v>
      </c>
      <c r="J102" s="66" t="s">
        <v>1778</v>
      </c>
      <c r="K102" s="309"/>
      <c r="M102" s="310" t="str">
        <f>+IF(I102="A",IF(ISBLANK(J102),"未入力あり",IF(J102="はい","○","×")),"")</f>
        <v>○</v>
      </c>
      <c r="O102" s="118"/>
    </row>
    <row r="103" spans="1:21" ht="14.25" thickBot="1">
      <c r="A103" s="289">
        <v>103</v>
      </c>
      <c r="C103" s="312"/>
      <c r="D103" s="312"/>
      <c r="E103" s="897"/>
      <c r="F103" s="927" t="s">
        <v>1411</v>
      </c>
      <c r="G103" s="908"/>
      <c r="H103" s="909" t="s">
        <v>592</v>
      </c>
      <c r="I103" s="335" t="s">
        <v>1228</v>
      </c>
      <c r="J103" s="66" t="s">
        <v>1777</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1412</v>
      </c>
      <c r="G105" s="895"/>
      <c r="H105" s="896" t="s">
        <v>1551</v>
      </c>
      <c r="I105" s="324" t="s">
        <v>1227</v>
      </c>
      <c r="J105" s="66" t="s">
        <v>1778</v>
      </c>
      <c r="K105" s="309"/>
      <c r="M105" s="310" t="str">
        <f t="shared" si="4"/>
        <v>○</v>
      </c>
      <c r="O105" s="118"/>
    </row>
    <row r="106" spans="1:21" ht="29.45" customHeight="1" thickBot="1">
      <c r="A106" s="289">
        <v>106</v>
      </c>
      <c r="C106" s="312"/>
      <c r="D106" s="312"/>
      <c r="E106" s="893"/>
      <c r="F106" s="927" t="s">
        <v>1410</v>
      </c>
      <c r="G106" s="908"/>
      <c r="H106" s="909" t="s">
        <v>594</v>
      </c>
      <c r="I106" s="335" t="s">
        <v>1227</v>
      </c>
      <c r="J106" s="66" t="s">
        <v>1778</v>
      </c>
      <c r="K106" s="336"/>
      <c r="M106" s="310" t="str">
        <f t="shared" si="4"/>
        <v>○</v>
      </c>
      <c r="O106" s="118"/>
    </row>
    <row r="107" spans="1:21" ht="27.75" thickBot="1">
      <c r="A107" s="289">
        <v>107</v>
      </c>
      <c r="C107" s="312"/>
      <c r="D107" s="312"/>
      <c r="E107" s="893"/>
      <c r="F107" s="893" t="s">
        <v>1411</v>
      </c>
      <c r="G107" s="915"/>
      <c r="H107" s="939" t="s">
        <v>1552</v>
      </c>
      <c r="I107" s="979" t="s">
        <v>1227</v>
      </c>
      <c r="J107" s="971" t="s">
        <v>1778</v>
      </c>
      <c r="K107" s="980" t="s">
        <v>1533</v>
      </c>
      <c r="M107" s="310" t="str">
        <f t="shared" si="4"/>
        <v>○</v>
      </c>
      <c r="O107" s="118"/>
    </row>
    <row r="108" spans="1:21" ht="27.75" thickBot="1">
      <c r="A108" s="289">
        <v>108</v>
      </c>
      <c r="C108" s="312"/>
      <c r="D108" s="312"/>
      <c r="E108" s="893"/>
      <c r="F108" s="893"/>
      <c r="G108" s="915"/>
      <c r="H108" s="932" t="s">
        <v>1553</v>
      </c>
      <c r="I108" s="981" t="s">
        <v>1227</v>
      </c>
      <c r="J108" s="971" t="s">
        <v>1778</v>
      </c>
      <c r="K108" s="940"/>
      <c r="M108" s="310" t="str">
        <f t="shared" si="4"/>
        <v>○</v>
      </c>
      <c r="O108" s="118"/>
    </row>
    <row r="109" spans="1:21" ht="14.25" thickBot="1">
      <c r="A109" s="289">
        <v>109</v>
      </c>
      <c r="C109" s="312"/>
      <c r="D109" s="312"/>
      <c r="E109" s="893"/>
      <c r="F109" s="893"/>
      <c r="G109" s="915"/>
      <c r="H109" s="932" t="s">
        <v>1472</v>
      </c>
      <c r="I109" s="985" t="s">
        <v>1233</v>
      </c>
      <c r="J109" s="971" t="s">
        <v>1778</v>
      </c>
      <c r="K109" s="982"/>
      <c r="M109" s="310" t="str">
        <f t="shared" ref="M109:M117" si="7">IF(ISBLANK(J109),"未入力あり","〇")</f>
        <v>〇</v>
      </c>
      <c r="O109" s="118"/>
    </row>
    <row r="110" spans="1:21" ht="14.25" thickBot="1">
      <c r="A110" s="289">
        <v>110</v>
      </c>
      <c r="C110" s="312"/>
      <c r="D110" s="312"/>
      <c r="E110" s="893"/>
      <c r="F110" s="893"/>
      <c r="G110" s="915"/>
      <c r="H110" s="939" t="s">
        <v>1554</v>
      </c>
      <c r="I110" s="952" t="s">
        <v>1233</v>
      </c>
      <c r="J110" s="971" t="s">
        <v>1778</v>
      </c>
      <c r="K110" s="986" t="s">
        <v>595</v>
      </c>
      <c r="M110" s="310" t="str">
        <f t="shared" si="7"/>
        <v>〇</v>
      </c>
      <c r="O110" s="118"/>
    </row>
    <row r="111" spans="1:21" ht="88.15" customHeight="1" thickBot="1">
      <c r="A111" s="289">
        <v>111</v>
      </c>
      <c r="C111" s="312"/>
      <c r="D111" s="312"/>
      <c r="E111" s="893"/>
      <c r="F111" s="894" t="s">
        <v>1413</v>
      </c>
      <c r="G111" s="895"/>
      <c r="H111" s="896" t="s">
        <v>1555</v>
      </c>
      <c r="I111" s="954" t="s">
        <v>1254</v>
      </c>
      <c r="J111" s="971" t="s">
        <v>1778</v>
      </c>
      <c r="K111" s="987" t="s">
        <v>1561</v>
      </c>
      <c r="M111" s="310" t="str">
        <f>IF(AND(I111="B",J111=""),"未入力あり",IF(AND(I111="B",J111&lt;&gt;""),"〇",IF(I111="-","")))</f>
        <v>〇</v>
      </c>
      <c r="O111" s="118"/>
    </row>
    <row r="112" spans="1:21" ht="14.25" thickBot="1">
      <c r="A112" s="289">
        <v>112</v>
      </c>
      <c r="C112" s="312"/>
      <c r="D112" s="312"/>
      <c r="E112" s="893"/>
      <c r="F112" s="893"/>
      <c r="G112" s="915"/>
      <c r="H112" s="942" t="s">
        <v>596</v>
      </c>
      <c r="I112" s="988" t="s">
        <v>1228</v>
      </c>
      <c r="J112" s="971" t="s">
        <v>1778</v>
      </c>
      <c r="K112" s="989" t="s">
        <v>597</v>
      </c>
      <c r="M112" s="310" t="str">
        <f t="shared" si="7"/>
        <v>〇</v>
      </c>
      <c r="O112" s="118"/>
    </row>
    <row r="113" spans="1:21" ht="27.75" thickBot="1">
      <c r="A113" s="289">
        <v>113</v>
      </c>
      <c r="C113" s="312"/>
      <c r="D113" s="312"/>
      <c r="E113" s="893"/>
      <c r="F113" s="897"/>
      <c r="G113" s="906"/>
      <c r="H113" s="918" t="s">
        <v>1556</v>
      </c>
      <c r="I113" s="990" t="s">
        <v>536</v>
      </c>
      <c r="J113" s="991">
        <v>1</v>
      </c>
      <c r="K113" s="992"/>
      <c r="M113" s="310" t="str">
        <f>IF(ISBLANK(J113),"未入力あり","〇")</f>
        <v>〇</v>
      </c>
      <c r="O113" s="118"/>
      <c r="T113" s="333"/>
      <c r="U113" s="334"/>
    </row>
    <row r="114" spans="1:21" ht="14.25" thickBot="1">
      <c r="A114" s="289">
        <v>114</v>
      </c>
      <c r="C114" s="312"/>
      <c r="D114" s="312"/>
      <c r="E114" s="893"/>
      <c r="F114" s="894" t="s">
        <v>1414</v>
      </c>
      <c r="G114" s="895"/>
      <c r="H114" s="900" t="s">
        <v>598</v>
      </c>
      <c r="I114" s="993" t="s">
        <v>1233</v>
      </c>
      <c r="J114" s="971" t="s">
        <v>1778</v>
      </c>
      <c r="K114" s="973"/>
      <c r="M114" s="310" t="str">
        <f t="shared" si="7"/>
        <v>〇</v>
      </c>
      <c r="O114" s="118"/>
    </row>
    <row r="115" spans="1:21" ht="14.25" thickBot="1">
      <c r="A115" s="289">
        <v>115</v>
      </c>
      <c r="C115" s="312"/>
      <c r="D115" s="312"/>
      <c r="E115" s="893"/>
      <c r="F115" s="893"/>
      <c r="G115" s="943"/>
      <c r="H115" s="899" t="s">
        <v>599</v>
      </c>
      <c r="I115" s="952" t="s">
        <v>1233</v>
      </c>
      <c r="J115" s="971" t="s">
        <v>1778</v>
      </c>
      <c r="K115" s="983"/>
      <c r="M115" s="310" t="str">
        <f t="shared" si="7"/>
        <v>〇</v>
      </c>
      <c r="O115" s="118"/>
    </row>
    <row r="116" spans="1:21" ht="14.25" thickBot="1">
      <c r="A116" s="289">
        <v>116</v>
      </c>
      <c r="C116" s="312"/>
      <c r="D116" s="312"/>
      <c r="E116" s="893"/>
      <c r="F116" s="893"/>
      <c r="G116" s="943"/>
      <c r="H116" s="944" t="s">
        <v>600</v>
      </c>
      <c r="I116" s="979" t="s">
        <v>533</v>
      </c>
      <c r="J116" s="971" t="s">
        <v>1777</v>
      </c>
      <c r="K116" s="980" t="s">
        <v>601</v>
      </c>
      <c r="M116" s="310" t="str">
        <f>IF(ISBLANK(J116),"未入力あり","〇")</f>
        <v>〇</v>
      </c>
      <c r="O116" s="118"/>
    </row>
    <row r="117" spans="1:21" ht="78" customHeight="1" thickBot="1">
      <c r="A117" s="289">
        <v>117</v>
      </c>
      <c r="C117" s="312"/>
      <c r="D117" s="325"/>
      <c r="E117" s="897"/>
      <c r="F117" s="927" t="s">
        <v>1415</v>
      </c>
      <c r="G117" s="908"/>
      <c r="H117" s="909" t="s">
        <v>602</v>
      </c>
      <c r="I117" s="959" t="s">
        <v>1233</v>
      </c>
      <c r="J117" s="971" t="s">
        <v>1778</v>
      </c>
      <c r="K117" s="972" t="s">
        <v>1416</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8" t="s">
        <v>1524</v>
      </c>
      <c r="F119" s="1259"/>
      <c r="G119" s="1259"/>
      <c r="H119" s="1260"/>
      <c r="I119" s="994"/>
      <c r="J119" s="1113"/>
      <c r="K119" s="995"/>
      <c r="O119" s="118"/>
    </row>
    <row r="120" spans="1:21" ht="14.25" thickBot="1">
      <c r="A120" s="289">
        <v>120</v>
      </c>
      <c r="C120" s="312"/>
      <c r="D120" s="312"/>
      <c r="E120" s="889" t="s">
        <v>414</v>
      </c>
      <c r="F120" s="890" t="s">
        <v>1562</v>
      </c>
      <c r="G120" s="891"/>
      <c r="H120" s="892"/>
      <c r="I120" s="965"/>
      <c r="J120" s="1111"/>
      <c r="K120" s="984"/>
      <c r="O120" s="118"/>
    </row>
    <row r="121" spans="1:21" ht="74.25" customHeight="1" thickBot="1">
      <c r="A121" s="289">
        <v>121</v>
      </c>
      <c r="C121" s="312"/>
      <c r="D121" s="312"/>
      <c r="E121" s="893"/>
      <c r="F121" s="894" t="s">
        <v>1409</v>
      </c>
      <c r="G121" s="895"/>
      <c r="H121" s="896" t="s">
        <v>605</v>
      </c>
      <c r="I121" s="954" t="s">
        <v>1227</v>
      </c>
      <c r="J121" s="991">
        <v>40</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1658</v>
      </c>
      <c r="I122" s="954" t="s">
        <v>1281</v>
      </c>
      <c r="J122" s="991">
        <v>6</v>
      </c>
      <c r="K122" s="987" t="s">
        <v>1668</v>
      </c>
      <c r="M122" s="310" t="str">
        <f t="shared" si="8"/>
        <v>○</v>
      </c>
      <c r="O122" s="118"/>
      <c r="T122" s="333"/>
      <c r="U122" s="333"/>
    </row>
    <row r="123" spans="1:21" ht="22.15" customHeight="1" thickBot="1">
      <c r="A123" s="289">
        <v>123</v>
      </c>
      <c r="C123" s="874"/>
      <c r="D123" s="874"/>
      <c r="E123" s="1049"/>
      <c r="F123" s="1049"/>
      <c r="G123" s="943"/>
      <c r="H123" s="941" t="s">
        <v>1659</v>
      </c>
      <c r="I123" s="954" t="s">
        <v>1281</v>
      </c>
      <c r="J123" s="991">
        <v>13</v>
      </c>
      <c r="K123" s="987"/>
      <c r="M123" s="310" t="str">
        <f t="shared" si="8"/>
        <v>○</v>
      </c>
      <c r="O123" s="118"/>
      <c r="T123" s="333"/>
      <c r="U123" s="333"/>
    </row>
    <row r="124" spans="1:21" ht="22.15" customHeight="1" thickBot="1">
      <c r="A124" s="289">
        <v>124</v>
      </c>
      <c r="C124" s="874"/>
      <c r="D124" s="874"/>
      <c r="E124" s="1049"/>
      <c r="F124" s="1049"/>
      <c r="G124" s="943"/>
      <c r="H124" s="941" t="s">
        <v>1660</v>
      </c>
      <c r="I124" s="954" t="s">
        <v>1281</v>
      </c>
      <c r="J124" s="991">
        <v>4</v>
      </c>
      <c r="K124" s="987"/>
      <c r="M124" s="310" t="str">
        <f t="shared" si="8"/>
        <v>○</v>
      </c>
      <c r="O124" s="118"/>
      <c r="T124" s="333"/>
      <c r="U124" s="333"/>
    </row>
    <row r="125" spans="1:21" ht="22.15" customHeight="1" thickBot="1">
      <c r="A125" s="289">
        <v>125</v>
      </c>
      <c r="C125" s="874"/>
      <c r="D125" s="874"/>
      <c r="E125" s="1049"/>
      <c r="F125" s="1049"/>
      <c r="G125" s="943"/>
      <c r="H125" s="941" t="s">
        <v>1661</v>
      </c>
      <c r="I125" s="954" t="s">
        <v>1281</v>
      </c>
      <c r="J125" s="991">
        <v>13</v>
      </c>
      <c r="K125" s="987"/>
      <c r="M125" s="310" t="str">
        <f t="shared" si="8"/>
        <v>○</v>
      </c>
      <c r="O125" s="118"/>
      <c r="T125" s="333"/>
      <c r="U125" s="333"/>
    </row>
    <row r="126" spans="1:21" ht="22.15" customHeight="1" thickBot="1">
      <c r="A126" s="289">
        <v>126</v>
      </c>
      <c r="C126" s="874"/>
      <c r="D126" s="874"/>
      <c r="E126" s="1049"/>
      <c r="F126" s="1049"/>
      <c r="G126" s="915"/>
      <c r="H126" s="998" t="s">
        <v>1662</v>
      </c>
      <c r="I126" s="954" t="s">
        <v>1281</v>
      </c>
      <c r="J126" s="991">
        <v>4</v>
      </c>
      <c r="K126" s="987"/>
      <c r="M126" s="310" t="str">
        <f t="shared" si="8"/>
        <v>○</v>
      </c>
      <c r="O126" s="118"/>
      <c r="T126" s="333"/>
      <c r="U126" s="333"/>
    </row>
    <row r="127" spans="1:21" ht="27" customHeight="1" thickBot="1">
      <c r="A127" s="289">
        <v>127</v>
      </c>
      <c r="C127" s="312"/>
      <c r="D127" s="312"/>
      <c r="E127" s="893"/>
      <c r="F127" s="894" t="s">
        <v>1417</v>
      </c>
      <c r="G127" s="895"/>
      <c r="H127" s="896" t="s">
        <v>1255</v>
      </c>
      <c r="I127" s="954" t="s">
        <v>1227</v>
      </c>
      <c r="J127" s="971" t="s">
        <v>1778</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1256</v>
      </c>
      <c r="I128" s="996" t="s">
        <v>1252</v>
      </c>
      <c r="J128" s="971" t="s">
        <v>1777</v>
      </c>
      <c r="K128" s="987"/>
      <c r="M128" s="310" t="str">
        <f>IF(ISBLANK(J128),"未入力あり","〇")</f>
        <v>〇</v>
      </c>
      <c r="O128" s="118"/>
      <c r="T128" s="333"/>
      <c r="U128" s="333"/>
    </row>
    <row r="129" spans="1:21" ht="14.25" thickBot="1">
      <c r="A129" s="289">
        <v>129</v>
      </c>
      <c r="C129" s="312"/>
      <c r="D129" s="312"/>
      <c r="E129" s="893"/>
      <c r="F129" s="893"/>
      <c r="G129" s="915"/>
      <c r="H129" s="942" t="s">
        <v>1257</v>
      </c>
      <c r="I129" s="959" t="str">
        <f>IF(J128="いいえ","A",IF(J128="はい","-","A／-"))</f>
        <v>A</v>
      </c>
      <c r="J129" s="991">
        <v>9</v>
      </c>
      <c r="K129" s="997" t="s">
        <v>1475</v>
      </c>
      <c r="L129" s="837"/>
      <c r="M129" s="832" t="str">
        <f>+IF(I129="A",IF(ISBLANK(J129),"未入力あり",IF(J129&gt;=1,"○","×")),"")</f>
        <v>○</v>
      </c>
      <c r="O129" s="118"/>
      <c r="T129" s="333"/>
      <c r="U129" s="333"/>
    </row>
    <row r="130" spans="1:21" ht="14.25" thickBot="1">
      <c r="A130" s="289">
        <v>130</v>
      </c>
      <c r="C130" s="312"/>
      <c r="D130" s="312"/>
      <c r="E130" s="893"/>
      <c r="F130" s="893"/>
      <c r="G130" s="915"/>
      <c r="H130" s="998" t="s">
        <v>1258</v>
      </c>
      <c r="I130" s="959" t="str">
        <f>IF(J128="いいえ","C",IF(J128="はい","-","C／-"))</f>
        <v>C</v>
      </c>
      <c r="J130" s="991">
        <v>9</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1238</v>
      </c>
      <c r="G131" s="908"/>
      <c r="H131" s="909" t="s">
        <v>1563</v>
      </c>
      <c r="I131" s="953" t="s">
        <v>1227</v>
      </c>
      <c r="J131" s="991">
        <v>1</v>
      </c>
      <c r="K131" s="972" t="s">
        <v>715</v>
      </c>
      <c r="M131" s="310" t="str">
        <f>+IF(I131="A",IF(ISBLANK(J131),"未入力あり",IF(J131&gt;=1,"○","×")),"")</f>
        <v>○</v>
      </c>
      <c r="O131" s="118"/>
      <c r="T131" s="333"/>
      <c r="U131" s="333"/>
    </row>
    <row r="132" spans="1:21" ht="93.6" customHeight="1" thickBot="1">
      <c r="A132" s="289">
        <v>132</v>
      </c>
      <c r="C132" s="312"/>
      <c r="D132" s="312"/>
      <c r="E132" s="893"/>
      <c r="F132" s="894" t="s">
        <v>1239</v>
      </c>
      <c r="G132" s="895"/>
      <c r="H132" s="999" t="s">
        <v>1564</v>
      </c>
      <c r="I132" s="954" t="s">
        <v>1227</v>
      </c>
      <c r="J132" s="875">
        <v>1</v>
      </c>
      <c r="K132" s="987" t="s">
        <v>1565</v>
      </c>
      <c r="M132" s="310" t="str">
        <f>+IF(I132="A",IF(ISBLANK(J132),"未入力あり",IF(J132&gt;=1,"○","×")),"")</f>
        <v>○</v>
      </c>
      <c r="O132" s="118"/>
      <c r="T132" s="333"/>
      <c r="U132" s="333"/>
    </row>
    <row r="133" spans="1:21" ht="14.25" thickBot="1">
      <c r="A133" s="289">
        <v>133</v>
      </c>
      <c r="C133" s="312"/>
      <c r="D133" s="312"/>
      <c r="E133" s="312"/>
      <c r="F133" s="312"/>
      <c r="H133" s="922" t="s">
        <v>1605</v>
      </c>
      <c r="I133" s="343" t="s">
        <v>1228</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4" t="s">
        <v>1418</v>
      </c>
      <c r="I134" s="359" t="s">
        <v>1228</v>
      </c>
      <c r="J134" s="288">
        <v>1</v>
      </c>
      <c r="K134" s="345"/>
      <c r="M134" s="310" t="str">
        <f t="shared" si="11"/>
        <v>〇</v>
      </c>
      <c r="O134" s="118"/>
      <c r="T134" s="333"/>
      <c r="U134" s="333"/>
    </row>
    <row r="135" spans="1:21" ht="14.25" thickBot="1">
      <c r="A135" s="289">
        <v>135</v>
      </c>
      <c r="C135" s="312"/>
      <c r="D135" s="312"/>
      <c r="E135" s="312"/>
      <c r="F135" s="312"/>
      <c r="H135" s="942" t="s">
        <v>716</v>
      </c>
      <c r="I135" s="364" t="s">
        <v>1227</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1259</v>
      </c>
      <c r="I136" s="990" t="s">
        <v>1228</v>
      </c>
      <c r="J136" s="971" t="s">
        <v>1778</v>
      </c>
      <c r="K136" s="992"/>
      <c r="M136" s="310" t="str">
        <f t="shared" ref="M136" si="12">IF(ISBLANK(J136),"未入力あり","〇")</f>
        <v>〇</v>
      </c>
      <c r="O136" s="118"/>
      <c r="T136" s="333"/>
      <c r="U136" s="333"/>
    </row>
    <row r="137" spans="1:21" ht="69" customHeight="1" thickBot="1">
      <c r="A137" s="289">
        <v>137</v>
      </c>
      <c r="C137" s="312"/>
      <c r="D137" s="312"/>
      <c r="E137" s="312"/>
      <c r="F137" s="894" t="s">
        <v>1240</v>
      </c>
      <c r="G137" s="919"/>
      <c r="H137" s="900" t="s">
        <v>1260</v>
      </c>
      <c r="I137" s="964" t="s">
        <v>1227</v>
      </c>
      <c r="J137" s="971" t="s">
        <v>1778</v>
      </c>
      <c r="K137" s="969" t="s">
        <v>1419</v>
      </c>
      <c r="M137" s="310" t="str">
        <f t="shared" ref="M137" si="13">+IF(I137="A",IF(ISBLANK(J137),"未入力あり",IF(J137&gt;=1,"○","×")),"")</f>
        <v>○</v>
      </c>
      <c r="O137" s="118"/>
      <c r="T137" s="333"/>
      <c r="U137" s="333"/>
    </row>
    <row r="138" spans="1:21" ht="14.25" thickBot="1">
      <c r="A138" s="289">
        <v>138</v>
      </c>
      <c r="C138" s="312"/>
      <c r="D138" s="312"/>
      <c r="E138" s="893"/>
      <c r="F138" s="893"/>
      <c r="G138" s="943"/>
      <c r="H138" s="932" t="s">
        <v>1261</v>
      </c>
      <c r="I138" s="979" t="s">
        <v>1263</v>
      </c>
      <c r="J138" s="971" t="s">
        <v>1778</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1262</v>
      </c>
      <c r="I139" s="952" t="str">
        <f>IF(J138="いいえ","A",IF(J138="はい","-","A／-"))</f>
        <v>-</v>
      </c>
      <c r="J139" s="991">
        <v>1</v>
      </c>
      <c r="K139" s="969" t="s">
        <v>1420</v>
      </c>
      <c r="M139" s="832" t="str">
        <f>+IF(I139="A",IF(ISBLANK(J139),"未入力あり",IF(J139&gt;=1,"○","×")),"")</f>
        <v/>
      </c>
      <c r="O139" s="118"/>
      <c r="T139" s="333"/>
      <c r="U139" s="333"/>
    </row>
    <row r="140" spans="1:21" ht="14.25" thickBot="1">
      <c r="A140" s="289">
        <v>140</v>
      </c>
      <c r="C140" s="312"/>
      <c r="D140" s="312"/>
      <c r="E140" s="893"/>
      <c r="F140" s="897" t="s">
        <v>1241</v>
      </c>
      <c r="G140" s="898"/>
      <c r="H140" s="928" t="s">
        <v>608</v>
      </c>
      <c r="I140" s="964" t="s">
        <v>1228</v>
      </c>
      <c r="J140" s="991">
        <v>0</v>
      </c>
      <c r="K140" s="969"/>
      <c r="M140" s="310" t="str">
        <f t="shared" si="14"/>
        <v>〇</v>
      </c>
      <c r="O140" s="118"/>
      <c r="T140" s="333"/>
      <c r="U140" s="334"/>
    </row>
    <row r="141" spans="1:21" ht="14.25" thickBot="1">
      <c r="A141" s="289">
        <v>141</v>
      </c>
      <c r="C141" s="312"/>
      <c r="D141" s="312"/>
      <c r="E141" s="889" t="s">
        <v>1235</v>
      </c>
      <c r="F141" s="890" t="s">
        <v>1476</v>
      </c>
      <c r="G141" s="891"/>
      <c r="H141" s="892"/>
      <c r="I141" s="1000"/>
      <c r="J141" s="1114"/>
      <c r="K141" s="984"/>
      <c r="O141" s="118"/>
    </row>
    <row r="142" spans="1:21" ht="14.25" thickBot="1">
      <c r="A142" s="289">
        <v>142</v>
      </c>
      <c r="C142" s="874"/>
      <c r="D142" s="874"/>
      <c r="E142" s="1007"/>
      <c r="F142" s="1001" t="s">
        <v>1523</v>
      </c>
      <c r="G142" s="1002"/>
      <c r="H142" s="1003"/>
      <c r="I142" s="1004"/>
      <c r="J142" s="1115"/>
      <c r="K142" s="1005"/>
      <c r="O142" s="118"/>
    </row>
    <row r="143" spans="1:21" ht="14.25" thickBot="1">
      <c r="A143" s="289">
        <v>143</v>
      </c>
      <c r="C143" s="312"/>
      <c r="D143" s="312"/>
      <c r="E143" s="893"/>
      <c r="F143" s="894" t="s">
        <v>1409</v>
      </c>
      <c r="G143" s="895"/>
      <c r="H143" s="900" t="s">
        <v>1264</v>
      </c>
      <c r="I143" s="993" t="str">
        <f>IF(J29="はい","A",IF(J29="いいえ","-","A／-"))</f>
        <v>A</v>
      </c>
      <c r="J143" s="991">
        <v>5</v>
      </c>
      <c r="K143" s="973" t="s">
        <v>1423</v>
      </c>
      <c r="M143" s="832" t="str">
        <f>+IF(I143="A",IF(ISBLANK(J143),"未入力あり",IF(J143&gt;=1,"○","×")),"")</f>
        <v>○</v>
      </c>
      <c r="O143" s="118"/>
      <c r="T143" s="333"/>
      <c r="U143" s="333"/>
    </row>
    <row r="144" spans="1:21" ht="14.25" thickBot="1">
      <c r="A144" s="289">
        <v>144</v>
      </c>
      <c r="C144" s="312"/>
      <c r="D144" s="312"/>
      <c r="E144" s="893"/>
      <c r="F144" s="893"/>
      <c r="G144" s="915"/>
      <c r="H144" s="940" t="s">
        <v>1265</v>
      </c>
      <c r="I144" s="1006" t="str">
        <f>IF(J29="はい","C",IF(J29="いいえ","-","C／-"))</f>
        <v>C</v>
      </c>
      <c r="J144" s="971" t="s">
        <v>1778</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1266</v>
      </c>
      <c r="I145" s="981" t="s">
        <v>533</v>
      </c>
      <c r="J145" s="991">
        <v>2</v>
      </c>
      <c r="K145" s="980"/>
      <c r="M145" s="310" t="str">
        <f t="shared" si="15"/>
        <v>〇</v>
      </c>
      <c r="O145" s="118"/>
      <c r="T145" s="333"/>
      <c r="U145" s="333"/>
    </row>
    <row r="146" spans="1:21" ht="26.25" customHeight="1" thickBot="1">
      <c r="A146" s="289">
        <v>146</v>
      </c>
      <c r="C146" s="312"/>
      <c r="D146" s="312"/>
      <c r="E146" s="893"/>
      <c r="F146" s="893"/>
      <c r="G146" s="915"/>
      <c r="H146" s="941" t="s">
        <v>1428</v>
      </c>
      <c r="I146" s="964" t="s">
        <v>533</v>
      </c>
      <c r="J146" s="100" t="s">
        <v>1146</v>
      </c>
      <c r="K146" s="980"/>
      <c r="M146" s="310" t="str">
        <f t="shared" si="15"/>
        <v>〇</v>
      </c>
      <c r="O146" s="118"/>
      <c r="T146" s="333"/>
      <c r="U146" s="333"/>
    </row>
    <row r="147" spans="1:21" ht="14.25" thickBot="1">
      <c r="A147" s="289">
        <v>147</v>
      </c>
      <c r="C147" s="312"/>
      <c r="D147" s="312"/>
      <c r="E147" s="893"/>
      <c r="F147" s="893"/>
      <c r="G147" s="915"/>
      <c r="H147" s="932" t="s">
        <v>1269</v>
      </c>
      <c r="I147" s="951" t="str">
        <f>IF(J29="はい","A",IF(J29="いいえ","-","A／-"))</f>
        <v>A</v>
      </c>
      <c r="J147" s="991">
        <v>2</v>
      </c>
      <c r="K147" s="973" t="s">
        <v>1566</v>
      </c>
      <c r="M147" s="832" t="str">
        <f>+IF(I147="A",IF(ISBLANK(J147),"未入力あり",IF(J147&gt;=1,"○","×")),"")</f>
        <v>○</v>
      </c>
      <c r="O147" s="118"/>
      <c r="T147" s="333"/>
      <c r="U147" s="333"/>
    </row>
    <row r="148" spans="1:21" ht="14.25" thickBot="1">
      <c r="A148" s="289">
        <v>148</v>
      </c>
      <c r="C148" s="312"/>
      <c r="D148" s="312"/>
      <c r="E148" s="893"/>
      <c r="F148" s="893"/>
      <c r="G148" s="915"/>
      <c r="H148" s="941" t="s">
        <v>1270</v>
      </c>
      <c r="I148" s="979" t="s">
        <v>1268</v>
      </c>
      <c r="J148" s="991">
        <v>2</v>
      </c>
      <c r="K148" s="982"/>
      <c r="M148" s="310" t="str">
        <f t="shared" si="15"/>
        <v>〇</v>
      </c>
      <c r="O148" s="118"/>
      <c r="T148" s="333"/>
      <c r="U148" s="333"/>
    </row>
    <row r="149" spans="1:21" ht="14.25" thickBot="1">
      <c r="A149" s="289">
        <v>149</v>
      </c>
      <c r="C149" s="312"/>
      <c r="D149" s="312"/>
      <c r="E149" s="893"/>
      <c r="F149" s="893"/>
      <c r="G149" s="915"/>
      <c r="H149" s="940" t="s">
        <v>1271</v>
      </c>
      <c r="I149" s="951" t="str">
        <f>IF(J29="はい","C",IF(J29="いいえ","-","C／-"))</f>
        <v>C</v>
      </c>
      <c r="J149" s="971" t="s">
        <v>1777</v>
      </c>
      <c r="K149" s="982"/>
      <c r="M149" s="310" t="str">
        <f t="shared" si="15"/>
        <v>〇</v>
      </c>
      <c r="O149" s="118"/>
      <c r="T149" s="333"/>
      <c r="U149" s="333"/>
    </row>
    <row r="150" spans="1:21" ht="14.25" thickBot="1">
      <c r="A150" s="289">
        <v>150</v>
      </c>
      <c r="C150" s="312"/>
      <c r="D150" s="312"/>
      <c r="E150" s="893"/>
      <c r="F150" s="893"/>
      <c r="G150" s="915"/>
      <c r="H150" s="941" t="s">
        <v>1272</v>
      </c>
      <c r="I150" s="1008" t="s">
        <v>1268</v>
      </c>
      <c r="J150" s="991">
        <v>0</v>
      </c>
      <c r="K150" s="982"/>
      <c r="M150" s="310" t="str">
        <f t="shared" si="15"/>
        <v>〇</v>
      </c>
      <c r="O150" s="118"/>
      <c r="T150" s="333"/>
      <c r="U150" s="333"/>
    </row>
    <row r="151" spans="1:21" ht="24.75" customHeight="1" thickBot="1">
      <c r="A151" s="289">
        <v>151</v>
      </c>
      <c r="C151" s="312"/>
      <c r="D151" s="312"/>
      <c r="E151" s="893"/>
      <c r="F151" s="893"/>
      <c r="G151" s="915"/>
      <c r="H151" s="941" t="s">
        <v>1428</v>
      </c>
      <c r="I151" s="952" t="s">
        <v>1268</v>
      </c>
      <c r="J151" s="100" t="s">
        <v>1781</v>
      </c>
      <c r="K151" s="982"/>
      <c r="M151" s="310" t="str">
        <f t="shared" si="15"/>
        <v>〇</v>
      </c>
      <c r="O151" s="118"/>
      <c r="T151" s="333"/>
      <c r="U151" s="333"/>
    </row>
    <row r="152" spans="1:21" ht="14.25" thickBot="1">
      <c r="A152" s="289">
        <v>152</v>
      </c>
      <c r="C152" s="312"/>
      <c r="D152" s="312"/>
      <c r="E152" s="893"/>
      <c r="F152" s="893"/>
      <c r="G152" s="915"/>
      <c r="H152" s="932" t="s">
        <v>1567</v>
      </c>
      <c r="I152" s="951" t="str">
        <f>IF(J29="はい","C",IF(J29="いいえ","-","C／-"))</f>
        <v>C</v>
      </c>
      <c r="J152" s="991">
        <v>1</v>
      </c>
      <c r="K152" s="982"/>
      <c r="M152" s="310" t="str">
        <f t="shared" si="15"/>
        <v>〇</v>
      </c>
      <c r="O152" s="118"/>
      <c r="T152" s="333"/>
      <c r="U152" s="333"/>
    </row>
    <row r="153" spans="1:21" ht="14.25" thickBot="1">
      <c r="A153" s="289">
        <v>153</v>
      </c>
      <c r="C153" s="312"/>
      <c r="D153" s="312"/>
      <c r="E153" s="893"/>
      <c r="F153" s="893"/>
      <c r="G153" s="915"/>
      <c r="H153" s="941" t="s">
        <v>1273</v>
      </c>
      <c r="I153" s="966" t="s">
        <v>1268</v>
      </c>
      <c r="J153" s="991">
        <v>1</v>
      </c>
      <c r="K153" s="982"/>
      <c r="M153" s="310" t="str">
        <f t="shared" si="15"/>
        <v>〇</v>
      </c>
      <c r="O153" s="118"/>
      <c r="T153" s="333"/>
      <c r="U153" s="333"/>
    </row>
    <row r="154" spans="1:21" ht="14.25" thickBot="1">
      <c r="A154" s="289">
        <v>154</v>
      </c>
      <c r="C154" s="312"/>
      <c r="D154" s="312"/>
      <c r="E154" s="893"/>
      <c r="F154" s="893"/>
      <c r="G154" s="915"/>
      <c r="H154" s="940" t="s">
        <v>1274</v>
      </c>
      <c r="I154" s="951" t="str">
        <f>IF(J29="はい","C",IF(J29="いいえ","-","C／-"))</f>
        <v>C</v>
      </c>
      <c r="J154" s="991" t="s">
        <v>1777</v>
      </c>
      <c r="K154" s="982"/>
      <c r="M154" s="310" t="str">
        <f t="shared" si="15"/>
        <v>〇</v>
      </c>
      <c r="O154" s="118"/>
      <c r="T154" s="333"/>
      <c r="U154" s="333"/>
    </row>
    <row r="155" spans="1:21" ht="14.25" thickBot="1">
      <c r="A155" s="289">
        <v>155</v>
      </c>
      <c r="C155" s="312"/>
      <c r="D155" s="312"/>
      <c r="E155" s="893"/>
      <c r="F155" s="893"/>
      <c r="G155" s="915"/>
      <c r="H155" s="941" t="s">
        <v>1289</v>
      </c>
      <c r="I155" s="981" t="s">
        <v>1268</v>
      </c>
      <c r="J155" s="991">
        <v>0</v>
      </c>
      <c r="K155" s="982"/>
      <c r="M155" s="310" t="str">
        <f t="shared" si="15"/>
        <v>〇</v>
      </c>
      <c r="O155" s="118"/>
      <c r="T155" s="333"/>
      <c r="U155" s="333"/>
    </row>
    <row r="156" spans="1:21" ht="24.75" customHeight="1" thickBot="1">
      <c r="A156" s="289">
        <v>156</v>
      </c>
      <c r="C156" s="312"/>
      <c r="D156" s="312"/>
      <c r="E156" s="893"/>
      <c r="F156" s="893"/>
      <c r="G156" s="915"/>
      <c r="H156" s="944" t="s">
        <v>1428</v>
      </c>
      <c r="I156" s="979" t="s">
        <v>1268</v>
      </c>
      <c r="J156" s="100" t="s">
        <v>1146</v>
      </c>
      <c r="K156" s="982"/>
      <c r="M156" s="310" t="str">
        <f t="shared" si="15"/>
        <v>〇</v>
      </c>
      <c r="O156" s="118"/>
      <c r="T156" s="333"/>
      <c r="U156" s="333"/>
    </row>
    <row r="157" spans="1:21" ht="14.25" thickBot="1">
      <c r="A157" s="289">
        <v>157</v>
      </c>
      <c r="C157" s="312"/>
      <c r="D157" s="312"/>
      <c r="E157" s="893"/>
      <c r="F157" s="1009" t="s">
        <v>1417</v>
      </c>
      <c r="G157" s="919"/>
      <c r="H157" s="1010" t="s">
        <v>610</v>
      </c>
      <c r="I157" s="951" t="s">
        <v>1227</v>
      </c>
      <c r="J157" s="991">
        <v>1</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1273</v>
      </c>
      <c r="I158" s="981" t="s">
        <v>1268</v>
      </c>
      <c r="J158" s="991">
        <v>0</v>
      </c>
      <c r="K158" s="982"/>
      <c r="M158" s="310" t="str">
        <f t="shared" si="15"/>
        <v>〇</v>
      </c>
      <c r="O158" s="118"/>
      <c r="T158" s="333"/>
      <c r="U158" s="333"/>
    </row>
    <row r="159" spans="1:21" ht="14.25" thickBot="1">
      <c r="A159" s="289">
        <v>159</v>
      </c>
      <c r="C159" s="312"/>
      <c r="D159" s="312"/>
      <c r="E159" s="893"/>
      <c r="F159" s="893"/>
      <c r="G159" s="915"/>
      <c r="H159" s="940" t="s">
        <v>1279</v>
      </c>
      <c r="I159" s="981" t="s">
        <v>1278</v>
      </c>
      <c r="J159" s="971" t="s">
        <v>1778</v>
      </c>
      <c r="K159" s="982"/>
      <c r="M159" s="310" t="str">
        <f t="shared" si="15"/>
        <v>〇</v>
      </c>
      <c r="O159" s="118"/>
      <c r="T159" s="333"/>
      <c r="U159" s="333"/>
    </row>
    <row r="160" spans="1:21" ht="14.25" thickBot="1">
      <c r="A160" s="289">
        <v>160</v>
      </c>
      <c r="C160" s="312"/>
      <c r="D160" s="312"/>
      <c r="E160" s="893"/>
      <c r="F160" s="893"/>
      <c r="G160" s="915"/>
      <c r="H160" s="941" t="s">
        <v>1287</v>
      </c>
      <c r="I160" s="981" t="s">
        <v>1268</v>
      </c>
      <c r="J160" s="991">
        <v>1</v>
      </c>
      <c r="K160" s="982"/>
      <c r="M160" s="310" t="str">
        <f t="shared" si="15"/>
        <v>〇</v>
      </c>
      <c r="O160" s="118"/>
      <c r="T160" s="333"/>
      <c r="U160" s="333"/>
    </row>
    <row r="161" spans="1:21" ht="14.25" thickBot="1">
      <c r="A161" s="289">
        <v>161</v>
      </c>
      <c r="C161" s="312"/>
      <c r="D161" s="312"/>
      <c r="E161" s="893"/>
      <c r="F161" s="893"/>
      <c r="G161" s="915"/>
      <c r="H161" s="941" t="s">
        <v>1288</v>
      </c>
      <c r="I161" s="981" t="s">
        <v>1268</v>
      </c>
      <c r="J161" s="991">
        <v>0</v>
      </c>
      <c r="K161" s="982"/>
      <c r="M161" s="310" t="str">
        <f t="shared" si="15"/>
        <v>〇</v>
      </c>
      <c r="O161" s="118"/>
      <c r="T161" s="333"/>
      <c r="U161" s="333"/>
    </row>
    <row r="162" spans="1:21" ht="14.25" thickBot="1">
      <c r="A162" s="289">
        <v>162</v>
      </c>
      <c r="C162" s="312"/>
      <c r="D162" s="312"/>
      <c r="E162" s="893"/>
      <c r="F162" s="893"/>
      <c r="G162" s="915"/>
      <c r="H162" s="1011" t="s">
        <v>1428</v>
      </c>
      <c r="I162" s="979" t="s">
        <v>1268</v>
      </c>
      <c r="J162" s="100">
        <v>1</v>
      </c>
      <c r="K162" s="982"/>
      <c r="M162" s="310" t="str">
        <f t="shared" si="15"/>
        <v>〇</v>
      </c>
      <c r="O162" s="118"/>
      <c r="T162" s="333"/>
      <c r="U162" s="333"/>
    </row>
    <row r="163" spans="1:21" ht="14.25" thickBot="1">
      <c r="A163" s="289">
        <v>163</v>
      </c>
      <c r="C163" s="312"/>
      <c r="D163" s="312"/>
      <c r="E163" s="893"/>
      <c r="F163" s="893"/>
      <c r="G163" s="915"/>
      <c r="H163" s="900" t="s">
        <v>611</v>
      </c>
      <c r="I163" s="951" t="s">
        <v>1227</v>
      </c>
      <c r="J163" s="991">
        <v>3</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1275</v>
      </c>
      <c r="I164" s="981" t="s">
        <v>1424</v>
      </c>
      <c r="J164" s="971" t="s">
        <v>1778</v>
      </c>
      <c r="K164" s="982"/>
      <c r="M164" s="310" t="str">
        <f t="shared" si="15"/>
        <v>〇</v>
      </c>
      <c r="O164" s="118"/>
      <c r="T164" s="333"/>
      <c r="U164" s="333"/>
    </row>
    <row r="165" spans="1:21" ht="14.25" thickBot="1">
      <c r="A165" s="289">
        <v>165</v>
      </c>
      <c r="C165" s="312"/>
      <c r="D165" s="312"/>
      <c r="E165" s="893"/>
      <c r="F165" s="893"/>
      <c r="G165" s="915"/>
      <c r="H165" s="941" t="s">
        <v>1276</v>
      </c>
      <c r="I165" s="981" t="s">
        <v>1406</v>
      </c>
      <c r="J165" s="991">
        <v>1</v>
      </c>
      <c r="K165" s="982"/>
      <c r="M165" s="310" t="str">
        <f t="shared" si="15"/>
        <v>〇</v>
      </c>
      <c r="O165" s="118"/>
      <c r="T165" s="333"/>
      <c r="U165" s="333"/>
    </row>
    <row r="166" spans="1:21" ht="14.25" thickBot="1">
      <c r="A166" s="289">
        <v>166</v>
      </c>
      <c r="C166" s="312"/>
      <c r="D166" s="312"/>
      <c r="E166" s="893"/>
      <c r="F166" s="893"/>
      <c r="G166" s="915"/>
      <c r="H166" s="941" t="s">
        <v>1277</v>
      </c>
      <c r="I166" s="981" t="s">
        <v>1406</v>
      </c>
      <c r="J166" s="991">
        <v>1</v>
      </c>
      <c r="K166" s="982"/>
      <c r="M166" s="310" t="str">
        <f t="shared" si="15"/>
        <v>〇</v>
      </c>
      <c r="O166" s="118"/>
      <c r="T166" s="333"/>
      <c r="U166" s="333"/>
    </row>
    <row r="167" spans="1:21" ht="14.25" thickBot="1">
      <c r="A167" s="289">
        <v>167</v>
      </c>
      <c r="C167" s="312"/>
      <c r="D167" s="312"/>
      <c r="E167" s="893"/>
      <c r="F167" s="893"/>
      <c r="G167" s="915"/>
      <c r="H167" s="998" t="s">
        <v>1428</v>
      </c>
      <c r="I167" s="966" t="s">
        <v>533</v>
      </c>
      <c r="J167" s="100" t="s">
        <v>1146</v>
      </c>
      <c r="K167" s="986"/>
      <c r="M167" s="310" t="str">
        <f t="shared" si="15"/>
        <v>〇</v>
      </c>
      <c r="O167" s="118"/>
      <c r="T167" s="333"/>
      <c r="U167" s="333"/>
    </row>
    <row r="168" spans="1:21" ht="14.25" thickBot="1">
      <c r="A168" s="289">
        <v>168</v>
      </c>
      <c r="C168" s="312"/>
      <c r="D168" s="312"/>
      <c r="E168" s="893"/>
      <c r="F168" s="894" t="s">
        <v>1421</v>
      </c>
      <c r="G168" s="895"/>
      <c r="H168" s="900" t="s">
        <v>612</v>
      </c>
      <c r="I168" s="951" t="s">
        <v>1227</v>
      </c>
      <c r="J168" s="991">
        <v>1</v>
      </c>
      <c r="K168" s="987" t="s">
        <v>609</v>
      </c>
      <c r="M168" s="310" t="str">
        <f t="shared" si="16"/>
        <v>○</v>
      </c>
      <c r="O168" s="118"/>
      <c r="T168" s="333"/>
      <c r="U168" s="333"/>
    </row>
    <row r="169" spans="1:21" ht="14.25" thickBot="1">
      <c r="A169" s="289">
        <v>169</v>
      </c>
      <c r="C169" s="312"/>
      <c r="D169" s="312"/>
      <c r="E169" s="893"/>
      <c r="F169" s="893"/>
      <c r="G169" s="915"/>
      <c r="H169" s="932" t="s">
        <v>1280</v>
      </c>
      <c r="I169" s="979" t="s">
        <v>1281</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1283</v>
      </c>
      <c r="I170" s="981" t="s">
        <v>1406</v>
      </c>
      <c r="J170" s="991">
        <v>1</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1284</v>
      </c>
      <c r="I171" s="981" t="s">
        <v>1406</v>
      </c>
      <c r="J171" s="991">
        <v>0</v>
      </c>
      <c r="K171" s="982"/>
      <c r="M171" s="310" t="str">
        <f t="shared" si="17"/>
        <v>〇</v>
      </c>
      <c r="O171" s="118"/>
      <c r="T171" s="333"/>
      <c r="U171" s="333"/>
    </row>
    <row r="172" spans="1:21" ht="14.25" thickBot="1">
      <c r="A172" s="289">
        <v>172</v>
      </c>
      <c r="C172" s="312"/>
      <c r="D172" s="312"/>
      <c r="E172" s="893"/>
      <c r="F172" s="893"/>
      <c r="G172" s="915"/>
      <c r="H172" s="941" t="s">
        <v>1285</v>
      </c>
      <c r="I172" s="981" t="s">
        <v>1406</v>
      </c>
      <c r="J172" s="991">
        <v>0</v>
      </c>
      <c r="K172" s="982"/>
      <c r="M172" s="310" t="str">
        <f t="shared" si="17"/>
        <v>〇</v>
      </c>
      <c r="O172" s="118"/>
      <c r="T172" s="333"/>
      <c r="U172" s="333"/>
    </row>
    <row r="173" spans="1:21" ht="14.25" thickBot="1">
      <c r="A173" s="289">
        <v>173</v>
      </c>
      <c r="C173" s="312"/>
      <c r="D173" s="312"/>
      <c r="E173" s="312"/>
      <c r="F173" s="893"/>
      <c r="G173" s="915"/>
      <c r="H173" s="944" t="s">
        <v>1428</v>
      </c>
      <c r="I173" s="979" t="s">
        <v>1406</v>
      </c>
      <c r="J173" s="100" t="s">
        <v>1146</v>
      </c>
      <c r="K173" s="982"/>
      <c r="M173" s="310" t="str">
        <f t="shared" si="17"/>
        <v>〇</v>
      </c>
      <c r="O173" s="118"/>
      <c r="T173" s="333"/>
      <c r="U173" s="333"/>
    </row>
    <row r="174" spans="1:21" ht="14.25" thickBot="1">
      <c r="A174" s="289">
        <v>174</v>
      </c>
      <c r="C174" s="312"/>
      <c r="D174" s="312"/>
      <c r="E174" s="312"/>
      <c r="F174" s="894" t="s">
        <v>1413</v>
      </c>
      <c r="G174" s="895"/>
      <c r="H174" s="900" t="s">
        <v>613</v>
      </c>
      <c r="I174" s="951" t="s">
        <v>1278</v>
      </c>
      <c r="J174" s="991">
        <v>2</v>
      </c>
      <c r="K174" s="982"/>
      <c r="M174" s="310" t="str">
        <f t="shared" si="17"/>
        <v>〇</v>
      </c>
      <c r="O174" s="118"/>
      <c r="T174" s="333"/>
      <c r="U174" s="333"/>
    </row>
    <row r="175" spans="1:21" ht="14.25" thickBot="1">
      <c r="A175" s="289">
        <v>175</v>
      </c>
      <c r="C175" s="312"/>
      <c r="D175" s="312"/>
      <c r="E175" s="312"/>
      <c r="F175" s="893"/>
      <c r="G175" s="915"/>
      <c r="H175" s="939" t="s">
        <v>1282</v>
      </c>
      <c r="I175" s="981" t="s">
        <v>1424</v>
      </c>
      <c r="J175" s="971" t="s">
        <v>1777</v>
      </c>
      <c r="K175" s="982"/>
      <c r="M175" s="310" t="str">
        <f t="shared" si="17"/>
        <v>〇</v>
      </c>
      <c r="O175" s="118"/>
      <c r="T175" s="333"/>
      <c r="U175" s="333"/>
    </row>
    <row r="176" spans="1:21" ht="14.25" thickBot="1">
      <c r="A176" s="289">
        <v>176</v>
      </c>
      <c r="C176" s="312"/>
      <c r="D176" s="312"/>
      <c r="E176" s="312"/>
      <c r="F176" s="893"/>
      <c r="G176" s="915"/>
      <c r="H176" s="941" t="s">
        <v>1286</v>
      </c>
      <c r="I176" s="981" t="s">
        <v>1406</v>
      </c>
      <c r="J176" s="991">
        <v>0</v>
      </c>
      <c r="K176" s="982"/>
      <c r="M176" s="310" t="str">
        <f t="shared" si="17"/>
        <v>〇</v>
      </c>
      <c r="O176" s="118"/>
      <c r="T176" s="333"/>
      <c r="U176" s="333"/>
    </row>
    <row r="177" spans="1:21" ht="14.25" thickBot="1">
      <c r="A177" s="289">
        <v>177</v>
      </c>
      <c r="C177" s="312"/>
      <c r="D177" s="312"/>
      <c r="E177" s="312"/>
      <c r="F177" s="893"/>
      <c r="G177" s="915"/>
      <c r="H177" s="944" t="s">
        <v>1267</v>
      </c>
      <c r="I177" s="979" t="s">
        <v>1406</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1424</v>
      </c>
      <c r="J178" s="991">
        <v>2</v>
      </c>
      <c r="K178" s="982"/>
      <c r="M178" s="310" t="str">
        <f t="shared" si="17"/>
        <v>〇</v>
      </c>
      <c r="O178" s="118"/>
      <c r="T178" s="333"/>
      <c r="U178" s="333"/>
    </row>
    <row r="179" spans="1:21" ht="14.25" thickBot="1">
      <c r="A179" s="289">
        <v>179</v>
      </c>
      <c r="C179" s="312"/>
      <c r="D179" s="312"/>
      <c r="E179" s="312"/>
      <c r="F179" s="893"/>
      <c r="G179" s="915"/>
      <c r="H179" s="939" t="s">
        <v>1290</v>
      </c>
      <c r="I179" s="979" t="s">
        <v>1424</v>
      </c>
      <c r="J179" s="971" t="s">
        <v>1778</v>
      </c>
      <c r="K179" s="982"/>
      <c r="M179" s="310" t="str">
        <f t="shared" si="17"/>
        <v>〇</v>
      </c>
      <c r="O179" s="118"/>
      <c r="T179" s="333"/>
      <c r="U179" s="333"/>
    </row>
    <row r="180" spans="1:21" ht="14.25" thickBot="1">
      <c r="A180" s="289">
        <v>180</v>
      </c>
      <c r="C180" s="312"/>
      <c r="D180" s="312"/>
      <c r="E180" s="312"/>
      <c r="F180" s="893"/>
      <c r="G180" s="915"/>
      <c r="H180" s="941" t="s">
        <v>1292</v>
      </c>
      <c r="I180" s="981" t="s">
        <v>1228</v>
      </c>
      <c r="J180" s="991">
        <v>2</v>
      </c>
      <c r="K180" s="982"/>
      <c r="M180" s="310" t="str">
        <f t="shared" si="17"/>
        <v>〇</v>
      </c>
      <c r="O180" s="118"/>
      <c r="T180" s="333"/>
      <c r="U180" s="333"/>
    </row>
    <row r="181" spans="1:21" ht="14.25" thickBot="1">
      <c r="A181" s="289">
        <v>181</v>
      </c>
      <c r="C181" s="312"/>
      <c r="D181" s="312"/>
      <c r="E181" s="312"/>
      <c r="F181" s="893"/>
      <c r="G181" s="915"/>
      <c r="H181" s="940" t="s">
        <v>1291</v>
      </c>
      <c r="I181" s="1012" t="s">
        <v>1424</v>
      </c>
      <c r="J181" s="971" t="s">
        <v>1777</v>
      </c>
      <c r="K181" s="982"/>
      <c r="M181" s="310" t="str">
        <f t="shared" si="17"/>
        <v>〇</v>
      </c>
      <c r="O181" s="118"/>
      <c r="T181" s="333"/>
      <c r="U181" s="333"/>
    </row>
    <row r="182" spans="1:21" ht="14.25" thickBot="1">
      <c r="A182" s="289">
        <v>182</v>
      </c>
      <c r="C182" s="312"/>
      <c r="D182" s="312"/>
      <c r="E182" s="312"/>
      <c r="F182" s="897"/>
      <c r="G182" s="906"/>
      <c r="H182" s="998" t="s">
        <v>1292</v>
      </c>
      <c r="I182" s="1013" t="s">
        <v>1228</v>
      </c>
      <c r="J182" s="991">
        <v>0</v>
      </c>
      <c r="K182" s="982"/>
      <c r="M182" s="310" t="str">
        <f t="shared" si="17"/>
        <v>〇</v>
      </c>
      <c r="O182" s="118"/>
      <c r="T182" s="333"/>
      <c r="U182" s="333"/>
    </row>
    <row r="183" spans="1:21" ht="14.25" thickBot="1">
      <c r="A183" s="289">
        <v>183</v>
      </c>
      <c r="C183" s="312"/>
      <c r="D183" s="312"/>
      <c r="E183" s="312"/>
      <c r="F183" s="893" t="s">
        <v>1414</v>
      </c>
      <c r="G183" s="915"/>
      <c r="H183" s="900" t="s">
        <v>615</v>
      </c>
      <c r="I183" s="979" t="s">
        <v>1229</v>
      </c>
      <c r="J183" s="991">
        <v>3</v>
      </c>
      <c r="K183" s="982"/>
      <c r="M183" s="310" t="str">
        <f t="shared" si="17"/>
        <v>〇</v>
      </c>
      <c r="O183" s="118"/>
      <c r="T183" s="333"/>
      <c r="U183" s="333"/>
    </row>
    <row r="184" spans="1:21" ht="14.25" thickBot="1">
      <c r="A184" s="289">
        <v>184</v>
      </c>
      <c r="C184" s="312"/>
      <c r="D184" s="312"/>
      <c r="E184" s="312"/>
      <c r="F184" s="893"/>
      <c r="G184" s="915"/>
      <c r="H184" s="940" t="s">
        <v>1293</v>
      </c>
      <c r="I184" s="1014" t="s">
        <v>1268</v>
      </c>
      <c r="J184" s="971" t="s">
        <v>1778</v>
      </c>
      <c r="K184" s="982"/>
      <c r="M184" s="310" t="str">
        <f t="shared" si="17"/>
        <v>〇</v>
      </c>
      <c r="O184" s="118"/>
      <c r="T184" s="333"/>
      <c r="U184" s="333"/>
    </row>
    <row r="185" spans="1:21" ht="14.25" thickBot="1">
      <c r="A185" s="289">
        <v>185</v>
      </c>
      <c r="C185" s="312"/>
      <c r="D185" s="312"/>
      <c r="E185" s="312"/>
      <c r="F185" s="893"/>
      <c r="G185" s="915"/>
      <c r="H185" s="1011" t="s">
        <v>1295</v>
      </c>
      <c r="I185" s="1014" t="s">
        <v>1268</v>
      </c>
      <c r="J185" s="991">
        <v>3</v>
      </c>
      <c r="K185" s="982"/>
      <c r="M185" s="310" t="str">
        <f t="shared" si="17"/>
        <v>〇</v>
      </c>
      <c r="O185" s="118"/>
      <c r="T185" s="333"/>
      <c r="U185" s="333"/>
    </row>
    <row r="186" spans="1:21" ht="14.25" thickBot="1">
      <c r="A186" s="289">
        <v>186</v>
      </c>
      <c r="C186" s="312"/>
      <c r="D186" s="312"/>
      <c r="E186" s="312"/>
      <c r="F186" s="893"/>
      <c r="G186" s="915"/>
      <c r="H186" s="989" t="s">
        <v>1294</v>
      </c>
      <c r="I186" s="1014" t="s">
        <v>1268</v>
      </c>
      <c r="J186" s="971" t="s">
        <v>1778</v>
      </c>
      <c r="K186" s="982"/>
      <c r="M186" s="310" t="str">
        <f t="shared" si="17"/>
        <v>〇</v>
      </c>
      <c r="O186" s="118"/>
      <c r="T186" s="333"/>
      <c r="U186" s="333"/>
    </row>
    <row r="187" spans="1:21" ht="14.25" thickBot="1">
      <c r="A187" s="289">
        <v>187</v>
      </c>
      <c r="C187" s="312"/>
      <c r="D187" s="312"/>
      <c r="E187" s="312"/>
      <c r="F187" s="893"/>
      <c r="G187" s="915"/>
      <c r="H187" s="1011" t="s">
        <v>1295</v>
      </c>
      <c r="I187" s="1014" t="s">
        <v>1268</v>
      </c>
      <c r="J187" s="991">
        <v>3</v>
      </c>
      <c r="K187" s="1015"/>
      <c r="M187" s="310" t="str">
        <f t="shared" si="17"/>
        <v>〇</v>
      </c>
      <c r="O187" s="118"/>
      <c r="T187" s="333"/>
      <c r="U187" s="333"/>
    </row>
    <row r="188" spans="1:21" ht="14.25" thickBot="1">
      <c r="A188" s="289">
        <v>188</v>
      </c>
      <c r="C188" s="312"/>
      <c r="D188" s="312"/>
      <c r="E188" s="312"/>
      <c r="F188" s="897"/>
      <c r="G188" s="906"/>
      <c r="H188" s="998" t="s">
        <v>1428</v>
      </c>
      <c r="I188" s="958" t="s">
        <v>533</v>
      </c>
      <c r="J188" s="100" t="s">
        <v>1146</v>
      </c>
      <c r="K188" s="992"/>
      <c r="M188" s="310" t="str">
        <f t="shared" si="17"/>
        <v>〇</v>
      </c>
      <c r="O188" s="118"/>
      <c r="T188" s="333"/>
      <c r="U188" s="333"/>
    </row>
    <row r="189" spans="1:21" ht="14.25" thickBot="1">
      <c r="A189" s="289">
        <v>189</v>
      </c>
      <c r="C189" s="312"/>
      <c r="D189" s="312"/>
      <c r="E189" s="312"/>
      <c r="F189" s="893" t="s">
        <v>1415</v>
      </c>
      <c r="G189" s="915"/>
      <c r="H189" s="939" t="s">
        <v>1297</v>
      </c>
      <c r="I189" s="951" t="str">
        <f>IF(J31="はい","A",IF(J31="いいえ","-","A／-"))</f>
        <v>A</v>
      </c>
      <c r="J189" s="991">
        <v>4</v>
      </c>
      <c r="K189" s="980" t="s">
        <v>1568</v>
      </c>
      <c r="M189" s="832" t="str">
        <f>+IF(I189="A",IF(ISBLANK(J189),"未入力あり",IF(J189&gt;=1,"○","×")),"")</f>
        <v>○</v>
      </c>
      <c r="O189" s="118"/>
      <c r="T189" s="333"/>
      <c r="U189" s="333"/>
    </row>
    <row r="190" spans="1:21" ht="14.25" thickBot="1">
      <c r="A190" s="289">
        <v>190</v>
      </c>
      <c r="C190" s="312"/>
      <c r="D190" s="312"/>
      <c r="E190" s="312"/>
      <c r="F190" s="893"/>
      <c r="G190" s="915"/>
      <c r="H190" s="941" t="s">
        <v>1298</v>
      </c>
      <c r="I190" s="981" t="s">
        <v>1268</v>
      </c>
      <c r="J190" s="991">
        <v>2</v>
      </c>
      <c r="K190" s="982"/>
      <c r="M190" s="310" t="str">
        <f t="shared" si="17"/>
        <v>〇</v>
      </c>
      <c r="O190" s="118"/>
      <c r="T190" s="333"/>
      <c r="U190" s="333"/>
    </row>
    <row r="191" spans="1:21" ht="14.25" thickBot="1">
      <c r="A191" s="289">
        <v>191</v>
      </c>
      <c r="C191" s="312"/>
      <c r="D191" s="312"/>
      <c r="E191" s="312"/>
      <c r="F191" s="893"/>
      <c r="G191" s="915"/>
      <c r="H191" s="941" t="s">
        <v>1299</v>
      </c>
      <c r="I191" s="981" t="s">
        <v>1268</v>
      </c>
      <c r="J191" s="991">
        <v>2</v>
      </c>
      <c r="K191" s="982"/>
      <c r="M191" s="310" t="str">
        <f t="shared" si="17"/>
        <v>〇</v>
      </c>
      <c r="O191" s="118"/>
      <c r="T191" s="333"/>
      <c r="U191" s="333"/>
    </row>
    <row r="192" spans="1:21" ht="14.25" thickBot="1">
      <c r="A192" s="289">
        <v>192</v>
      </c>
      <c r="C192" s="312"/>
      <c r="D192" s="312"/>
      <c r="E192" s="312"/>
      <c r="F192" s="893"/>
      <c r="G192" s="915"/>
      <c r="H192" s="940" t="s">
        <v>1300</v>
      </c>
      <c r="I192" s="981" t="s">
        <v>1278</v>
      </c>
      <c r="J192" s="971" t="s">
        <v>1778</v>
      </c>
      <c r="K192" s="982"/>
      <c r="M192" s="310" t="str">
        <f t="shared" si="17"/>
        <v>〇</v>
      </c>
      <c r="O192" s="118"/>
      <c r="T192" s="333"/>
      <c r="U192" s="333"/>
    </row>
    <row r="193" spans="1:21" ht="14.25" thickBot="1">
      <c r="A193" s="289">
        <v>193</v>
      </c>
      <c r="C193" s="312"/>
      <c r="D193" s="312"/>
      <c r="E193" s="312"/>
      <c r="F193" s="893"/>
      <c r="G193" s="915"/>
      <c r="H193" s="941" t="s">
        <v>1301</v>
      </c>
      <c r="I193" s="981" t="s">
        <v>1268</v>
      </c>
      <c r="J193" s="991">
        <v>4</v>
      </c>
      <c r="K193" s="982"/>
      <c r="M193" s="310" t="str">
        <f t="shared" si="17"/>
        <v>〇</v>
      </c>
      <c r="O193" s="118"/>
      <c r="T193" s="333"/>
      <c r="U193" s="333"/>
    </row>
    <row r="194" spans="1:21" ht="14.25" thickBot="1">
      <c r="A194" s="289">
        <v>194</v>
      </c>
      <c r="C194" s="312"/>
      <c r="D194" s="312"/>
      <c r="E194" s="312"/>
      <c r="F194" s="897"/>
      <c r="G194" s="898"/>
      <c r="H194" s="998" t="s">
        <v>1428</v>
      </c>
      <c r="I194" s="966" t="s">
        <v>1268</v>
      </c>
      <c r="J194" s="100" t="s">
        <v>1146</v>
      </c>
      <c r="K194" s="983"/>
      <c r="M194" s="310" t="str">
        <f t="shared" si="17"/>
        <v>〇</v>
      </c>
      <c r="O194" s="118"/>
      <c r="T194" s="333"/>
      <c r="U194" s="333"/>
    </row>
    <row r="195" spans="1:21" ht="14.25" thickBot="1">
      <c r="A195" s="289">
        <v>195</v>
      </c>
      <c r="C195" s="312"/>
      <c r="D195" s="312"/>
      <c r="E195" s="312"/>
      <c r="F195" s="893" t="s">
        <v>1422</v>
      </c>
      <c r="G195" s="915"/>
      <c r="H195" s="939" t="s">
        <v>616</v>
      </c>
      <c r="I195" s="979" t="s">
        <v>1228</v>
      </c>
      <c r="J195" s="991">
        <v>12</v>
      </c>
      <c r="K195" s="980"/>
      <c r="M195" s="310" t="str">
        <f t="shared" si="17"/>
        <v>〇</v>
      </c>
      <c r="O195" s="118"/>
      <c r="T195" s="333"/>
      <c r="U195" s="334"/>
    </row>
    <row r="196" spans="1:21" ht="14.25" thickBot="1">
      <c r="A196" s="289">
        <v>196</v>
      </c>
      <c r="C196" s="312"/>
      <c r="D196" s="312"/>
      <c r="E196" s="312"/>
      <c r="F196" s="893"/>
      <c r="G196" s="915"/>
      <c r="H196" s="1011" t="s">
        <v>617</v>
      </c>
      <c r="I196" s="988" t="s">
        <v>1228</v>
      </c>
      <c r="J196" s="991">
        <v>8</v>
      </c>
      <c r="K196" s="989"/>
      <c r="M196" s="310" t="str">
        <f t="shared" si="17"/>
        <v>〇</v>
      </c>
      <c r="O196" s="118"/>
      <c r="T196" s="333"/>
      <c r="U196" s="334"/>
    </row>
    <row r="197" spans="1:21" ht="14.25" thickBot="1">
      <c r="A197" s="289">
        <v>197</v>
      </c>
      <c r="C197" s="312"/>
      <c r="D197" s="312"/>
      <c r="E197" s="312"/>
      <c r="F197" s="893"/>
      <c r="G197" s="915"/>
      <c r="H197" s="941" t="s">
        <v>618</v>
      </c>
      <c r="I197" s="981" t="s">
        <v>1228</v>
      </c>
      <c r="J197" s="991">
        <v>3</v>
      </c>
      <c r="K197" s="940"/>
      <c r="M197" s="310" t="str">
        <f t="shared" si="17"/>
        <v>〇</v>
      </c>
      <c r="O197" s="118"/>
      <c r="T197" s="333"/>
      <c r="U197" s="334"/>
    </row>
    <row r="198" spans="1:21" ht="14.25" thickBot="1">
      <c r="A198" s="289">
        <v>198</v>
      </c>
      <c r="C198" s="312"/>
      <c r="D198" s="325"/>
      <c r="E198" s="325"/>
      <c r="F198" s="897"/>
      <c r="G198" s="898"/>
      <c r="H198" s="998" t="s">
        <v>619</v>
      </c>
      <c r="I198" s="952" t="s">
        <v>1228</v>
      </c>
      <c r="J198" s="991">
        <v>1</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1302</v>
      </c>
      <c r="F200" s="891"/>
      <c r="G200" s="891"/>
      <c r="H200" s="896" t="s">
        <v>622</v>
      </c>
      <c r="I200" s="954" t="s">
        <v>1228</v>
      </c>
      <c r="J200" s="971" t="s">
        <v>1777</v>
      </c>
      <c r="K200" s="987" t="s">
        <v>623</v>
      </c>
      <c r="M200" s="310" t="str">
        <f t="shared" si="17"/>
        <v>〇</v>
      </c>
      <c r="O200" s="118"/>
    </row>
    <row r="201" spans="1:21" ht="27.75" thickBot="1">
      <c r="A201" s="289">
        <v>201</v>
      </c>
      <c r="C201" s="312"/>
      <c r="D201" s="893"/>
      <c r="E201" s="889" t="s">
        <v>1303</v>
      </c>
      <c r="F201" s="891"/>
      <c r="G201" s="891"/>
      <c r="H201" s="896" t="s">
        <v>624</v>
      </c>
      <c r="I201" s="954" t="s">
        <v>1306</v>
      </c>
      <c r="J201" s="971" t="s">
        <v>1778</v>
      </c>
      <c r="K201" s="987"/>
      <c r="M201" s="310" t="str">
        <f t="shared" si="17"/>
        <v>〇</v>
      </c>
      <c r="O201" s="118"/>
    </row>
    <row r="202" spans="1:21" ht="14.25" thickBot="1">
      <c r="A202" s="289">
        <v>202</v>
      </c>
      <c r="C202" s="312"/>
      <c r="D202" s="893"/>
      <c r="E202" s="1046"/>
      <c r="F202" s="1016"/>
      <c r="G202" s="1016"/>
      <c r="H202" s="899" t="s">
        <v>625</v>
      </c>
      <c r="I202" s="966" t="s">
        <v>1228</v>
      </c>
      <c r="J202" s="971" t="s">
        <v>1777</v>
      </c>
      <c r="K202" s="983"/>
      <c r="M202" s="310" t="str">
        <f t="shared" si="17"/>
        <v>〇</v>
      </c>
      <c r="O202" s="118"/>
    </row>
    <row r="203" spans="1:21" ht="27.75" thickBot="1">
      <c r="A203" s="289">
        <v>203</v>
      </c>
      <c r="C203" s="312"/>
      <c r="D203" s="893"/>
      <c r="E203" s="1065" t="s">
        <v>1304</v>
      </c>
      <c r="F203" s="1017"/>
      <c r="G203" s="1017"/>
      <c r="H203" s="909" t="s">
        <v>626</v>
      </c>
      <c r="I203" s="953" t="s">
        <v>1227</v>
      </c>
      <c r="J203" s="971" t="s">
        <v>1778</v>
      </c>
      <c r="K203" s="972"/>
      <c r="M203" s="310" t="str">
        <f t="shared" ref="M203" si="18">+IF(I203="A",IF(ISBLANK(J203),"未入力あり",IF(J203="はい","○","×")),"")</f>
        <v>○</v>
      </c>
      <c r="O203" s="118"/>
    </row>
    <row r="204" spans="1:21" ht="14.25" thickBot="1">
      <c r="A204" s="289">
        <v>204</v>
      </c>
      <c r="C204" s="312"/>
      <c r="D204" s="893"/>
      <c r="E204" s="1046" t="s">
        <v>1305</v>
      </c>
      <c r="F204" s="1016"/>
      <c r="G204" s="1016"/>
      <c r="H204" s="939" t="s">
        <v>627</v>
      </c>
      <c r="I204" s="979" t="s">
        <v>1306</v>
      </c>
      <c r="J204" s="971" t="s">
        <v>1777</v>
      </c>
      <c r="K204" s="980" t="s">
        <v>628</v>
      </c>
      <c r="M204" s="310" t="str">
        <f t="shared" si="17"/>
        <v>〇</v>
      </c>
      <c r="O204" s="118"/>
    </row>
    <row r="205" spans="1:21" ht="14.25" thickBot="1">
      <c r="A205" s="289">
        <v>205</v>
      </c>
      <c r="C205" s="312"/>
      <c r="D205" s="893"/>
      <c r="E205" s="1046"/>
      <c r="F205" s="1016"/>
      <c r="G205" s="1016"/>
      <c r="H205" s="932" t="s">
        <v>1569</v>
      </c>
      <c r="I205" s="968" t="s">
        <v>1306</v>
      </c>
      <c r="J205" s="971" t="s">
        <v>1778</v>
      </c>
      <c r="K205" s="940"/>
      <c r="M205" s="310" t="str">
        <f t="shared" si="17"/>
        <v>〇</v>
      </c>
      <c r="O205" s="118"/>
    </row>
    <row r="206" spans="1:21" ht="14.25" thickBot="1">
      <c r="A206" s="289">
        <v>206</v>
      </c>
      <c r="C206" s="312"/>
      <c r="D206" s="893"/>
      <c r="E206" s="1046"/>
      <c r="F206" s="1016"/>
      <c r="G206" s="1016"/>
      <c r="H206" s="941" t="s">
        <v>629</v>
      </c>
      <c r="I206" s="968" t="s">
        <v>533</v>
      </c>
      <c r="J206" s="971" t="s">
        <v>1778</v>
      </c>
      <c r="K206" s="940"/>
      <c r="M206" s="310" t="str">
        <f t="shared" si="17"/>
        <v>〇</v>
      </c>
      <c r="O206" s="118"/>
    </row>
    <row r="207" spans="1:21" ht="14.25" thickBot="1">
      <c r="A207" s="289">
        <v>207</v>
      </c>
      <c r="C207" s="312"/>
      <c r="D207" s="312"/>
      <c r="E207" s="367"/>
      <c r="F207" s="1016"/>
      <c r="G207" s="1016"/>
      <c r="H207" s="941" t="s">
        <v>630</v>
      </c>
      <c r="I207" s="968" t="s">
        <v>533</v>
      </c>
      <c r="J207" s="971" t="s">
        <v>1778</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1777</v>
      </c>
      <c r="K208" s="980" t="s">
        <v>1606</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1704</v>
      </c>
      <c r="F211" s="911"/>
      <c r="G211" s="912"/>
      <c r="H211" s="999"/>
      <c r="I211" s="324" t="s">
        <v>1227</v>
      </c>
      <c r="J211" s="66" t="s">
        <v>1778</v>
      </c>
      <c r="K211" s="309"/>
      <c r="M211" s="310" t="str">
        <f t="shared" ref="M211" si="19">+IF(I211="A",IF(ISBLANK(J211),"未入力あり",IF(J211="はい","○","×")),"")</f>
        <v>○</v>
      </c>
      <c r="O211" s="118"/>
    </row>
    <row r="212" spans="1:21" ht="32.25" customHeight="1" thickBot="1">
      <c r="A212" s="289">
        <v>212</v>
      </c>
      <c r="C212" s="893"/>
      <c r="D212" s="893"/>
      <c r="E212" s="893"/>
      <c r="F212" s="927" t="s">
        <v>1307</v>
      </c>
      <c r="G212" s="1022"/>
      <c r="H212" s="1023" t="s">
        <v>1570</v>
      </c>
      <c r="I212" s="335" t="s">
        <v>1227</v>
      </c>
      <c r="J212" s="288">
        <v>1314</v>
      </c>
      <c r="K212" s="336" t="s">
        <v>633</v>
      </c>
      <c r="M212" s="310" t="str">
        <f>+IF(I212="A",IF(ISBLANK(J212),"未入力あり",IF(J212&gt;=200,"○","×")),"")</f>
        <v>○</v>
      </c>
      <c r="O212" s="118"/>
      <c r="T212" s="333"/>
      <c r="U212" s="333"/>
    </row>
    <row r="213" spans="1:21" ht="46.5" customHeight="1" thickBot="1">
      <c r="A213" s="289">
        <v>213</v>
      </c>
      <c r="C213" s="893"/>
      <c r="D213" s="893"/>
      <c r="E213" s="893"/>
      <c r="F213" s="927" t="s">
        <v>1308</v>
      </c>
      <c r="G213" s="1022"/>
      <c r="H213" s="1023" t="s">
        <v>1571</v>
      </c>
      <c r="I213" s="335" t="s">
        <v>1227</v>
      </c>
      <c r="J213" s="288">
        <v>896</v>
      </c>
      <c r="K213" s="336" t="s">
        <v>634</v>
      </c>
      <c r="M213" s="310" t="str">
        <f t="shared" ref="M213" si="20">+IF(I213="A",IF(ISBLANK(J213),"未入力あり",IF(J213&gt;=200,"○","×")),"")</f>
        <v>○</v>
      </c>
      <c r="O213" s="118"/>
      <c r="T213" s="333"/>
      <c r="U213" s="333"/>
    </row>
    <row r="214" spans="1:21" ht="81.75" thickBot="1">
      <c r="A214" s="289">
        <v>214</v>
      </c>
      <c r="C214" s="893"/>
      <c r="D214" s="893"/>
      <c r="E214" s="893"/>
      <c r="F214" s="894" t="s">
        <v>1309</v>
      </c>
      <c r="G214" s="919"/>
      <c r="H214" s="1023" t="s">
        <v>1572</v>
      </c>
      <c r="I214" s="324" t="s">
        <v>1227</v>
      </c>
      <c r="J214" s="288">
        <v>599</v>
      </c>
      <c r="K214" s="309" t="s">
        <v>1721</v>
      </c>
      <c r="M214" s="310" t="str">
        <f>+IF(I214="A",IF(ISBLANK(J214),"未入力あり",IF(J214&gt;=400,"○","×")),"")</f>
        <v>○</v>
      </c>
      <c r="O214" s="118"/>
      <c r="T214" s="333"/>
      <c r="U214" s="333"/>
    </row>
    <row r="215" spans="1:21" ht="45.75" customHeight="1" thickBot="1">
      <c r="A215" s="289">
        <v>215</v>
      </c>
      <c r="C215" s="893"/>
      <c r="D215" s="893"/>
      <c r="E215" s="893"/>
      <c r="F215" s="897"/>
      <c r="G215" s="906"/>
      <c r="H215" s="1024" t="s">
        <v>1573</v>
      </c>
      <c r="I215" s="337" t="s">
        <v>533</v>
      </c>
      <c r="J215" s="288">
        <v>333</v>
      </c>
      <c r="K215" s="309"/>
      <c r="M215" s="310" t="str">
        <f t="shared" ref="M215:M217" si="21">IF(ISBLANK(J215),"未入力あり","〇")</f>
        <v>〇</v>
      </c>
      <c r="O215" s="118"/>
      <c r="T215" s="333"/>
      <c r="U215" s="334"/>
    </row>
    <row r="216" spans="1:21" ht="27.75" thickBot="1">
      <c r="A216" s="289">
        <v>216</v>
      </c>
      <c r="C216" s="893"/>
      <c r="D216" s="893"/>
      <c r="E216" s="893"/>
      <c r="F216" s="927" t="s">
        <v>1310</v>
      </c>
      <c r="G216" s="1022"/>
      <c r="H216" s="1023" t="s">
        <v>1574</v>
      </c>
      <c r="I216" s="335" t="s">
        <v>1227</v>
      </c>
      <c r="J216" s="288">
        <v>125</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1268</v>
      </c>
      <c r="J217" s="875">
        <v>16</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1575</v>
      </c>
      <c r="I219" s="951" t="s">
        <v>1227</v>
      </c>
      <c r="J219" s="66" t="s">
        <v>1778</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1227</v>
      </c>
      <c r="J220" s="66" t="s">
        <v>1778</v>
      </c>
      <c r="K220" s="347"/>
      <c r="M220" s="310" t="str">
        <f t="shared" si="22"/>
        <v>○</v>
      </c>
      <c r="O220" s="118"/>
    </row>
    <row r="221" spans="1:21" ht="14.25" thickBot="1">
      <c r="A221" s="289">
        <v>221</v>
      </c>
      <c r="C221" s="893"/>
      <c r="D221" s="1030"/>
      <c r="E221" s="1031"/>
      <c r="F221" s="1031"/>
      <c r="G221" s="1031"/>
      <c r="H221" s="899" t="s">
        <v>641</v>
      </c>
      <c r="I221" s="966" t="s">
        <v>1227</v>
      </c>
      <c r="J221" s="66" t="s">
        <v>1778</v>
      </c>
      <c r="K221" s="311"/>
      <c r="M221" s="310" t="str">
        <f t="shared" si="22"/>
        <v>○</v>
      </c>
      <c r="O221" s="118"/>
    </row>
    <row r="222" spans="1:21" ht="27.75" thickBot="1">
      <c r="A222" s="289">
        <v>222</v>
      </c>
      <c r="C222" s="893"/>
      <c r="D222" s="1029" t="s">
        <v>642</v>
      </c>
      <c r="E222" s="946"/>
      <c r="F222" s="946"/>
      <c r="G222" s="946"/>
      <c r="H222" s="896" t="s">
        <v>643</v>
      </c>
      <c r="I222" s="954" t="s">
        <v>1227</v>
      </c>
      <c r="J222" s="66" t="s">
        <v>1778</v>
      </c>
      <c r="K222" s="309"/>
      <c r="M222" s="310" t="str">
        <f t="shared" si="22"/>
        <v>○</v>
      </c>
      <c r="O222" s="118"/>
    </row>
    <row r="223" spans="1:21" ht="48" customHeight="1" thickBot="1">
      <c r="A223" s="289">
        <v>223</v>
      </c>
      <c r="C223" s="893"/>
      <c r="D223" s="1029" t="s">
        <v>644</v>
      </c>
      <c r="E223" s="946"/>
      <c r="F223" s="946"/>
      <c r="G223" s="946"/>
      <c r="H223" s="896" t="s">
        <v>1311</v>
      </c>
      <c r="I223" s="993" t="s">
        <v>1227</v>
      </c>
      <c r="J223" s="66" t="s">
        <v>1778</v>
      </c>
      <c r="K223" s="831"/>
      <c r="M223" s="310" t="str">
        <f t="shared" si="22"/>
        <v>○</v>
      </c>
      <c r="O223" s="118"/>
    </row>
    <row r="224" spans="1:21" ht="22.5" customHeight="1" thickBot="1">
      <c r="A224" s="289">
        <v>224</v>
      </c>
      <c r="C224" s="893"/>
      <c r="D224" s="1030"/>
      <c r="E224" s="1031"/>
      <c r="F224" s="1031"/>
      <c r="G224" s="1031"/>
      <c r="H224" s="932" t="s">
        <v>1313</v>
      </c>
      <c r="I224" s="981" t="s">
        <v>1268</v>
      </c>
      <c r="J224" s="66" t="s">
        <v>1778</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1227</v>
      </c>
      <c r="J225" s="66" t="s">
        <v>1778</v>
      </c>
      <c r="K225" s="345"/>
      <c r="M225" s="310" t="str">
        <f t="shared" si="22"/>
        <v>○</v>
      </c>
      <c r="O225" s="118"/>
      <c r="T225" s="333"/>
      <c r="U225" s="333"/>
    </row>
    <row r="226" spans="1:21" ht="14.25" thickBot="1">
      <c r="A226" s="289">
        <v>226</v>
      </c>
      <c r="C226" s="893"/>
      <c r="D226" s="1030"/>
      <c r="E226" s="1031"/>
      <c r="F226" s="1031"/>
      <c r="G226" s="1031"/>
      <c r="H226" s="1193" t="s">
        <v>1705</v>
      </c>
      <c r="I226" s="1033" t="s">
        <v>533</v>
      </c>
      <c r="J226" s="288">
        <v>19</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7</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0.36842105263157893</v>
      </c>
      <c r="K228" s="352"/>
      <c r="O228" s="118"/>
      <c r="T228" s="333"/>
      <c r="U228" s="333"/>
    </row>
    <row r="229" spans="1:21" ht="14.25" thickBot="1">
      <c r="A229" s="289">
        <v>229</v>
      </c>
      <c r="C229" s="893"/>
      <c r="D229" s="1030"/>
      <c r="E229" s="1031"/>
      <c r="F229" s="1031"/>
      <c r="G229" s="1031"/>
      <c r="H229" s="1032" t="s">
        <v>648</v>
      </c>
      <c r="I229" s="1033" t="s">
        <v>533</v>
      </c>
      <c r="J229" s="288">
        <v>50</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43</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0.86</v>
      </c>
      <c r="K231" s="352"/>
      <c r="O231" s="118"/>
      <c r="T231" s="333"/>
      <c r="U231" s="333"/>
    </row>
    <row r="232" spans="1:21" ht="14.25" thickBot="1">
      <c r="A232" s="289">
        <v>232</v>
      </c>
      <c r="C232" s="893"/>
      <c r="D232" s="1030"/>
      <c r="E232" s="1031"/>
      <c r="F232" s="1031"/>
      <c r="G232" s="1031"/>
      <c r="H232" s="932" t="s">
        <v>649</v>
      </c>
      <c r="I232" s="979" t="s">
        <v>1227</v>
      </c>
      <c r="J232" s="66" t="s">
        <v>1778</v>
      </c>
      <c r="K232" s="345"/>
      <c r="M232" s="310" t="str">
        <f t="shared" ref="M232:M238" si="24">+IF(I232="A",IF(ISBLANK(J232),"未入力あり",IF(J232="はい","○","×")),"")</f>
        <v>○</v>
      </c>
      <c r="O232" s="118"/>
    </row>
    <row r="233" spans="1:21" ht="41.25" thickBot="1">
      <c r="A233" s="289">
        <v>233</v>
      </c>
      <c r="C233" s="893"/>
      <c r="D233" s="1030"/>
      <c r="E233" s="1031"/>
      <c r="F233" s="1031"/>
      <c r="G233" s="1031"/>
      <c r="H233" s="941" t="s">
        <v>1312</v>
      </c>
      <c r="I233" s="981" t="s">
        <v>1268</v>
      </c>
      <c r="J233" s="100" t="s">
        <v>1782</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1227</v>
      </c>
      <c r="J234" s="66" t="s">
        <v>1778</v>
      </c>
      <c r="K234" s="311"/>
      <c r="M234" s="310" t="str">
        <f t="shared" si="24"/>
        <v>○</v>
      </c>
      <c r="O234" s="118"/>
    </row>
    <row r="235" spans="1:21" ht="14.25" thickBot="1">
      <c r="A235" s="289">
        <v>235</v>
      </c>
      <c r="C235" s="893"/>
      <c r="D235" s="1029" t="s">
        <v>651</v>
      </c>
      <c r="E235" s="946"/>
      <c r="F235" s="946"/>
      <c r="G235" s="946"/>
      <c r="H235" s="896" t="s">
        <v>652</v>
      </c>
      <c r="I235" s="954" t="s">
        <v>1227</v>
      </c>
      <c r="J235" s="66" t="s">
        <v>1778</v>
      </c>
      <c r="K235" s="309"/>
      <c r="M235" s="310" t="str">
        <f t="shared" si="24"/>
        <v>○</v>
      </c>
      <c r="O235" s="118"/>
    </row>
    <row r="236" spans="1:21" ht="33" customHeight="1" thickBot="1">
      <c r="A236" s="289">
        <v>236</v>
      </c>
      <c r="C236" s="893"/>
      <c r="D236" s="1029" t="s">
        <v>653</v>
      </c>
      <c r="E236" s="946"/>
      <c r="F236" s="946"/>
      <c r="G236" s="1036"/>
      <c r="H236" s="1037" t="s">
        <v>1576</v>
      </c>
      <c r="I236" s="954" t="s">
        <v>1227</v>
      </c>
      <c r="J236" s="66" t="s">
        <v>1778</v>
      </c>
      <c r="K236" s="336"/>
      <c r="M236" s="310" t="str">
        <f t="shared" si="24"/>
        <v>○</v>
      </c>
      <c r="O236" s="118"/>
    </row>
    <row r="237" spans="1:21" ht="33" customHeight="1" thickBot="1">
      <c r="A237" s="289">
        <v>237</v>
      </c>
      <c r="C237" s="893"/>
      <c r="D237" s="1038"/>
      <c r="E237" s="1039"/>
      <c r="F237" s="1039"/>
      <c r="G237" s="1040"/>
      <c r="H237" s="1011" t="s">
        <v>1325</v>
      </c>
      <c r="I237" s="952" t="s">
        <v>1268</v>
      </c>
      <c r="J237" s="100" t="s">
        <v>1782</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1227</v>
      </c>
      <c r="J238" s="66" t="s">
        <v>1778</v>
      </c>
      <c r="K238" s="831"/>
      <c r="M238" s="310" t="str">
        <f t="shared" si="24"/>
        <v>○</v>
      </c>
      <c r="O238" s="118"/>
    </row>
    <row r="239" spans="1:21" ht="14.25" thickBot="1">
      <c r="A239" s="289">
        <v>239</v>
      </c>
      <c r="C239" s="893"/>
      <c r="D239" s="1030"/>
      <c r="E239" s="1031"/>
      <c r="F239" s="1031"/>
      <c r="G239" s="1031"/>
      <c r="H239" s="942" t="s">
        <v>656</v>
      </c>
      <c r="I239" s="1008" t="s">
        <v>1228</v>
      </c>
      <c r="J239" s="66" t="s">
        <v>1778</v>
      </c>
      <c r="K239" s="365"/>
      <c r="M239" s="310" t="str">
        <f t="shared" ref="M239:M241" si="27">IF(ISBLANK(J239),"未入力あり","〇")</f>
        <v>〇</v>
      </c>
      <c r="O239" s="118"/>
    </row>
    <row r="240" spans="1:21" ht="14.25" thickBot="1">
      <c r="A240" s="289">
        <v>240</v>
      </c>
      <c r="C240" s="893"/>
      <c r="D240" s="1030"/>
      <c r="E240" s="1031"/>
      <c r="F240" s="1031"/>
      <c r="G240" s="1041"/>
      <c r="H240" s="1194" t="s">
        <v>1706</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1707</v>
      </c>
      <c r="I241" s="958" t="s">
        <v>536</v>
      </c>
      <c r="J241" s="100" t="s">
        <v>1783</v>
      </c>
      <c r="K241" s="338"/>
      <c r="M241" s="310" t="str">
        <f t="shared" si="27"/>
        <v>〇</v>
      </c>
      <c r="O241" s="118"/>
    </row>
    <row r="242" spans="1:21" ht="14.25" thickBot="1">
      <c r="A242" s="289">
        <v>242</v>
      </c>
      <c r="C242" s="893"/>
      <c r="D242" s="1030" t="s">
        <v>657</v>
      </c>
      <c r="E242" s="1031"/>
      <c r="F242" s="1031"/>
      <c r="G242" s="1031"/>
      <c r="H242" s="1196" t="s">
        <v>658</v>
      </c>
      <c r="I242" s="979" t="s">
        <v>1227</v>
      </c>
      <c r="J242" s="66" t="s">
        <v>1778</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1</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1784</v>
      </c>
      <c r="K244" s="344"/>
      <c r="M244" s="310" t="str">
        <f t="shared" si="29"/>
        <v>〇</v>
      </c>
      <c r="O244" s="118"/>
    </row>
    <row r="245" spans="1:21" ht="24.6" customHeight="1" thickBot="1">
      <c r="A245" s="289">
        <v>245</v>
      </c>
      <c r="C245" s="893"/>
      <c r="D245" s="1038"/>
      <c r="E245" s="1039"/>
      <c r="F245" s="1039"/>
      <c r="G245" s="1040"/>
      <c r="H245" s="899" t="s">
        <v>659</v>
      </c>
      <c r="I245" s="966" t="s">
        <v>1227</v>
      </c>
      <c r="J245" s="66" t="s">
        <v>1778</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1278</v>
      </c>
      <c r="J246" s="66" t="s">
        <v>1778</v>
      </c>
      <c r="K246" s="340"/>
      <c r="M246" s="310" t="str">
        <f t="shared" si="29"/>
        <v>〇</v>
      </c>
      <c r="O246" s="118"/>
    </row>
    <row r="247" spans="1:21" ht="14.25" thickBot="1">
      <c r="A247" s="289">
        <v>247</v>
      </c>
      <c r="C247" s="893"/>
      <c r="D247" s="1030"/>
      <c r="E247" s="1031"/>
      <c r="F247" s="1031"/>
      <c r="G247" s="1041"/>
      <c r="H247" s="941" t="s">
        <v>1314</v>
      </c>
      <c r="I247" s="1044" t="s">
        <v>1268</v>
      </c>
      <c r="J247" s="66" t="s">
        <v>1778</v>
      </c>
      <c r="K247" s="831"/>
      <c r="M247" s="310" t="str">
        <f t="shared" si="29"/>
        <v>〇</v>
      </c>
      <c r="O247" s="118"/>
    </row>
    <row r="248" spans="1:21" ht="14.25" thickBot="1">
      <c r="A248" s="289">
        <v>248</v>
      </c>
      <c r="C248" s="897"/>
      <c r="D248" s="1038"/>
      <c r="E248" s="1039"/>
      <c r="F248" s="1039"/>
      <c r="G248" s="1040"/>
      <c r="H248" s="998" t="s">
        <v>1315</v>
      </c>
      <c r="I248" s="1045" t="s">
        <v>1268</v>
      </c>
      <c r="J248" s="66" t="s">
        <v>1778</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1577</v>
      </c>
      <c r="I251" s="954" t="s">
        <v>1227</v>
      </c>
      <c r="J251" s="66" t="s">
        <v>1778</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1227</v>
      </c>
      <c r="J252" s="66" t="s">
        <v>1778</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1278</v>
      </c>
      <c r="J253" s="66" t="s">
        <v>1777</v>
      </c>
      <c r="K253" s="340"/>
      <c r="M253" s="310" t="str">
        <f t="shared" ref="M253:M260" si="32">IF(ISBLANK(J253),"未入力あり","〇")</f>
        <v>〇</v>
      </c>
      <c r="O253" s="118"/>
    </row>
    <row r="254" spans="1:21" ht="32.25" customHeight="1" thickBot="1">
      <c r="A254" s="289">
        <v>254</v>
      </c>
      <c r="C254" s="893"/>
      <c r="D254" s="893"/>
      <c r="E254" s="915"/>
      <c r="F254" s="915"/>
      <c r="G254" s="915"/>
      <c r="H254" s="941" t="s">
        <v>1427</v>
      </c>
      <c r="I254" s="979" t="s">
        <v>1324</v>
      </c>
      <c r="J254" s="100" t="s">
        <v>1785</v>
      </c>
      <c r="K254" s="345"/>
      <c r="M254" s="310" t="str">
        <f t="shared" si="32"/>
        <v>〇</v>
      </c>
      <c r="O254" s="118"/>
    </row>
    <row r="255" spans="1:21" ht="14.25" thickBot="1">
      <c r="A255" s="289">
        <v>255</v>
      </c>
      <c r="C255" s="893"/>
      <c r="D255" s="893"/>
      <c r="E255" s="898"/>
      <c r="F255" s="915"/>
      <c r="G255" s="915"/>
      <c r="H255" s="923" t="s">
        <v>667</v>
      </c>
      <c r="I255" s="962" t="s">
        <v>533</v>
      </c>
      <c r="J255" s="66" t="s">
        <v>1778</v>
      </c>
      <c r="K255" s="341"/>
      <c r="M255" s="310" t="str">
        <f t="shared" si="32"/>
        <v>〇</v>
      </c>
      <c r="O255" s="118"/>
    </row>
    <row r="256" spans="1:21" ht="14.25" thickBot="1">
      <c r="A256" s="289">
        <v>256</v>
      </c>
      <c r="C256" s="893"/>
      <c r="D256" s="893"/>
      <c r="E256" s="889" t="s">
        <v>1316</v>
      </c>
      <c r="F256" s="891"/>
      <c r="G256" s="891"/>
      <c r="H256" s="896" t="s">
        <v>1478</v>
      </c>
      <c r="I256" s="954" t="s">
        <v>1227</v>
      </c>
      <c r="J256" s="66" t="s">
        <v>1778</v>
      </c>
      <c r="K256" s="831" t="s">
        <v>1480</v>
      </c>
      <c r="M256" s="310" t="str">
        <f>+IF(I256="A",IF(ISBLANK(J256),"未入力あり",IF(J256="はい","○","×")),"")</f>
        <v>○</v>
      </c>
      <c r="O256" s="118"/>
    </row>
    <row r="257" spans="1:21" ht="14.25" thickBot="1">
      <c r="A257" s="289">
        <v>257</v>
      </c>
      <c r="C257" s="893"/>
      <c r="D257" s="893"/>
      <c r="E257" s="1046"/>
      <c r="F257" s="1016"/>
      <c r="G257" s="1016"/>
      <c r="H257" s="932" t="s">
        <v>1479</v>
      </c>
      <c r="I257" s="954" t="s">
        <v>1470</v>
      </c>
      <c r="J257" s="66" t="s">
        <v>1778</v>
      </c>
      <c r="K257" s="345"/>
      <c r="M257" s="310" t="str">
        <f>IF(ISBLANK(J257),"未入力あり","〇")</f>
        <v>〇</v>
      </c>
      <c r="O257" s="118"/>
    </row>
    <row r="258" spans="1:21" ht="45" customHeight="1" thickBot="1">
      <c r="A258" s="289">
        <v>258</v>
      </c>
      <c r="C258" s="893"/>
      <c r="D258" s="893"/>
      <c r="E258" s="1046"/>
      <c r="F258" s="1016"/>
      <c r="G258" s="1016"/>
      <c r="H258" s="1047" t="s">
        <v>1578</v>
      </c>
      <c r="I258" s="951" t="str">
        <f>IF(J257="はい","C",IF(J257="いいえ","-","C／-"))</f>
        <v>C</v>
      </c>
      <c r="J258" s="66" t="s">
        <v>1778</v>
      </c>
      <c r="K258" s="341"/>
      <c r="M258" s="310" t="str">
        <f t="shared" si="32"/>
        <v>〇</v>
      </c>
      <c r="O258" s="118"/>
    </row>
    <row r="259" spans="1:21" ht="14.25" thickBot="1">
      <c r="A259" s="289">
        <v>259</v>
      </c>
      <c r="C259" s="893"/>
      <c r="D259" s="893"/>
      <c r="E259" s="1046"/>
      <c r="F259" s="1016"/>
      <c r="G259" s="1016"/>
      <c r="H259" s="1034" t="s">
        <v>1326</v>
      </c>
      <c r="I259" s="985" t="s">
        <v>1327</v>
      </c>
      <c r="J259" s="288">
        <v>4</v>
      </c>
      <c r="K259" s="838" t="s">
        <v>1481</v>
      </c>
      <c r="M259" s="310" t="str">
        <f t="shared" si="32"/>
        <v>〇</v>
      </c>
      <c r="O259" s="118"/>
    </row>
    <row r="260" spans="1:21" ht="14.25" thickBot="1">
      <c r="A260" s="289">
        <v>260</v>
      </c>
      <c r="C260" s="893"/>
      <c r="D260" s="893"/>
      <c r="E260" s="1046"/>
      <c r="F260" s="1016"/>
      <c r="G260" s="1016"/>
      <c r="H260" s="1048" t="s">
        <v>1328</v>
      </c>
      <c r="I260" s="952" t="s">
        <v>1324</v>
      </c>
      <c r="J260" s="66" t="s">
        <v>1777</v>
      </c>
      <c r="K260" s="345"/>
      <c r="M260" s="310" t="str">
        <f t="shared" si="32"/>
        <v>〇</v>
      </c>
      <c r="O260" s="118"/>
      <c r="T260" s="333"/>
      <c r="U260" s="334"/>
    </row>
    <row r="261" spans="1:21" ht="14.25" thickBot="1">
      <c r="A261" s="289">
        <v>261</v>
      </c>
      <c r="C261" s="893"/>
      <c r="D261" s="893"/>
      <c r="E261" s="889" t="s">
        <v>1317</v>
      </c>
      <c r="F261" s="891"/>
      <c r="G261" s="891"/>
      <c r="H261" s="896" t="s">
        <v>668</v>
      </c>
      <c r="I261" s="954" t="s">
        <v>1227</v>
      </c>
      <c r="J261" s="66" t="s">
        <v>1778</v>
      </c>
      <c r="K261" s="309"/>
      <c r="M261" s="310" t="str">
        <f t="shared" ref="M261:M271" si="33">+IF(I261="A",IF(ISBLANK(J261),"未入力あり",IF(J261="はい","○","×")),"")</f>
        <v>○</v>
      </c>
      <c r="O261" s="118"/>
    </row>
    <row r="262" spans="1:21" ht="36.6" customHeight="1" thickBot="1">
      <c r="A262" s="289">
        <v>262</v>
      </c>
      <c r="C262" s="893"/>
      <c r="D262" s="893"/>
      <c r="E262" s="889" t="s">
        <v>1318</v>
      </c>
      <c r="F262" s="891"/>
      <c r="G262" s="891"/>
      <c r="H262" s="896" t="s">
        <v>1579</v>
      </c>
      <c r="I262" s="954" t="s">
        <v>1227</v>
      </c>
      <c r="J262" s="66" t="s">
        <v>1778</v>
      </c>
      <c r="K262" s="309" t="s">
        <v>669</v>
      </c>
      <c r="M262" s="310" t="str">
        <f t="shared" si="33"/>
        <v>○</v>
      </c>
      <c r="O262" s="118"/>
    </row>
    <row r="263" spans="1:21" ht="18.75" customHeight="1" thickBot="1">
      <c r="A263" s="289">
        <v>263</v>
      </c>
      <c r="C263" s="893"/>
      <c r="D263" s="893"/>
      <c r="E263" s="1046"/>
      <c r="F263" s="1016"/>
      <c r="G263" s="1016"/>
      <c r="H263" s="909" t="s">
        <v>1329</v>
      </c>
      <c r="I263" s="953" t="s">
        <v>1227</v>
      </c>
      <c r="J263" s="66" t="s">
        <v>1778</v>
      </c>
      <c r="K263" s="336" t="s">
        <v>670</v>
      </c>
      <c r="M263" s="310" t="str">
        <f t="shared" si="33"/>
        <v>○</v>
      </c>
      <c r="O263" s="118"/>
    </row>
    <row r="264" spans="1:21" ht="14.25" thickBot="1">
      <c r="A264" s="289">
        <v>264</v>
      </c>
      <c r="C264" s="893"/>
      <c r="D264" s="893"/>
      <c r="E264" s="889" t="s">
        <v>1319</v>
      </c>
      <c r="F264" s="891"/>
      <c r="G264" s="891"/>
      <c r="H264" s="896" t="s">
        <v>671</v>
      </c>
      <c r="I264" s="954" t="s">
        <v>1227</v>
      </c>
      <c r="J264" s="66" t="s">
        <v>1778</v>
      </c>
      <c r="K264" s="309"/>
      <c r="M264" s="310" t="str">
        <f t="shared" si="33"/>
        <v>○</v>
      </c>
      <c r="O264" s="118"/>
    </row>
    <row r="265" spans="1:21" ht="40.5" customHeight="1" thickBot="1">
      <c r="A265" s="289">
        <v>265</v>
      </c>
      <c r="C265" s="893"/>
      <c r="D265" s="893"/>
      <c r="E265" s="1046"/>
      <c r="F265" s="894" t="s">
        <v>1330</v>
      </c>
      <c r="G265" s="895"/>
      <c r="H265" s="896" t="s">
        <v>672</v>
      </c>
      <c r="I265" s="954" t="s">
        <v>1327</v>
      </c>
      <c r="J265" s="66" t="s">
        <v>1777</v>
      </c>
      <c r="K265" s="309" t="s">
        <v>673</v>
      </c>
      <c r="M265" s="310" t="str">
        <f t="shared" ref="M265" si="34">IF(ISBLANK(J265),"未入力あり","〇")</f>
        <v>〇</v>
      </c>
      <c r="O265" s="118"/>
    </row>
    <row r="266" spans="1:21" ht="31.15" customHeight="1" thickBot="1">
      <c r="A266" s="289">
        <v>266</v>
      </c>
      <c r="C266" s="893"/>
      <c r="D266" s="893"/>
      <c r="E266" s="1046"/>
      <c r="F266" s="894" t="s">
        <v>1331</v>
      </c>
      <c r="G266" s="895"/>
      <c r="H266" s="896" t="s">
        <v>1482</v>
      </c>
      <c r="I266" s="954" t="s">
        <v>1227</v>
      </c>
      <c r="J266" s="66" t="s">
        <v>1778</v>
      </c>
      <c r="K266" s="309"/>
      <c r="M266" s="310" t="str">
        <f t="shared" si="33"/>
        <v>○</v>
      </c>
      <c r="O266" s="118"/>
    </row>
    <row r="267" spans="1:21" ht="14.25" thickBot="1">
      <c r="A267" s="289">
        <v>267</v>
      </c>
      <c r="C267" s="893"/>
      <c r="D267" s="893"/>
      <c r="E267" s="1046"/>
      <c r="F267" s="927" t="s">
        <v>1332</v>
      </c>
      <c r="G267" s="908"/>
      <c r="H267" s="909" t="s">
        <v>674</v>
      </c>
      <c r="I267" s="953" t="s">
        <v>1227</v>
      </c>
      <c r="J267" s="66" t="s">
        <v>1778</v>
      </c>
      <c r="K267" s="336"/>
      <c r="M267" s="310" t="str">
        <f t="shared" si="33"/>
        <v>○</v>
      </c>
      <c r="O267" s="118"/>
    </row>
    <row r="268" spans="1:21" ht="14.25" thickBot="1">
      <c r="A268" s="289">
        <v>268</v>
      </c>
      <c r="C268" s="893"/>
      <c r="D268" s="893"/>
      <c r="E268" s="1046"/>
      <c r="F268" s="894" t="s">
        <v>1333</v>
      </c>
      <c r="G268" s="919"/>
      <c r="H268" s="939" t="s">
        <v>675</v>
      </c>
      <c r="I268" s="979" t="s">
        <v>1227</v>
      </c>
      <c r="J268" s="66" t="s">
        <v>1778</v>
      </c>
      <c r="K268" s="831"/>
      <c r="M268" s="310" t="str">
        <f t="shared" si="33"/>
        <v>○</v>
      </c>
      <c r="O268" s="118"/>
    </row>
    <row r="269" spans="1:21" ht="24" customHeight="1" thickBot="1">
      <c r="A269" s="289">
        <v>269</v>
      </c>
      <c r="C269" s="893"/>
      <c r="D269" s="893"/>
      <c r="E269" s="1046"/>
      <c r="F269" s="893"/>
      <c r="G269" s="943"/>
      <c r="H269" s="941" t="s">
        <v>1426</v>
      </c>
      <c r="I269" s="981" t="s">
        <v>1324</v>
      </c>
      <c r="J269" s="100" t="s">
        <v>1785</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1227</v>
      </c>
      <c r="J270" s="66" t="s">
        <v>1778</v>
      </c>
      <c r="K270" s="311"/>
      <c r="M270" s="310" t="str">
        <f t="shared" si="33"/>
        <v>○</v>
      </c>
      <c r="O270" s="118"/>
    </row>
    <row r="271" spans="1:21" ht="14.25" thickBot="1">
      <c r="A271" s="289">
        <v>271</v>
      </c>
      <c r="C271" s="893"/>
      <c r="D271" s="893"/>
      <c r="E271" s="1046"/>
      <c r="F271" s="893" t="s">
        <v>1334</v>
      </c>
      <c r="G271" s="915"/>
      <c r="H271" s="939" t="s">
        <v>677</v>
      </c>
      <c r="I271" s="979" t="s">
        <v>1227</v>
      </c>
      <c r="J271" s="66" t="s">
        <v>1778</v>
      </c>
      <c r="K271" s="345"/>
      <c r="M271" s="310" t="str">
        <f t="shared" si="33"/>
        <v>○</v>
      </c>
      <c r="O271" s="118"/>
    </row>
    <row r="272" spans="1:21" ht="14.25" thickBot="1">
      <c r="A272" s="289">
        <v>272</v>
      </c>
      <c r="C272" s="893"/>
      <c r="D272" s="893"/>
      <c r="E272" s="889" t="s">
        <v>1320</v>
      </c>
      <c r="F272" s="891"/>
      <c r="G272" s="891"/>
      <c r="H272" s="896" t="s">
        <v>678</v>
      </c>
      <c r="I272" s="954" t="s">
        <v>1424</v>
      </c>
      <c r="J272" s="66" t="s">
        <v>1778</v>
      </c>
      <c r="K272" s="309"/>
      <c r="M272" s="310" t="str">
        <f t="shared" ref="M272:M273" si="36">IF(ISBLANK(J272),"未入力あり","〇")</f>
        <v>〇</v>
      </c>
      <c r="O272" s="118"/>
    </row>
    <row r="273" spans="1:15" ht="27.75" thickBot="1">
      <c r="A273" s="289">
        <v>273</v>
      </c>
      <c r="C273" s="893"/>
      <c r="D273" s="893"/>
      <c r="E273" s="1025"/>
      <c r="F273" s="1002"/>
      <c r="G273" s="1002"/>
      <c r="H273" s="899" t="s">
        <v>1580</v>
      </c>
      <c r="I273" s="952" t="s">
        <v>1424</v>
      </c>
      <c r="J273" s="66" t="s">
        <v>1778</v>
      </c>
      <c r="K273" s="311"/>
      <c r="M273" s="310" t="str">
        <f t="shared" si="36"/>
        <v>〇</v>
      </c>
      <c r="O273" s="118"/>
    </row>
    <row r="274" spans="1:15" ht="27.75" thickBot="1">
      <c r="A274" s="289">
        <v>274</v>
      </c>
      <c r="C274" s="893"/>
      <c r="D274" s="893"/>
      <c r="E274" s="1025" t="s">
        <v>1321</v>
      </c>
      <c r="F274" s="1002"/>
      <c r="G274" s="1002"/>
      <c r="H274" s="928" t="s">
        <v>679</v>
      </c>
      <c r="I274" s="964" t="s">
        <v>1227</v>
      </c>
      <c r="J274" s="66" t="s">
        <v>1778</v>
      </c>
      <c r="K274" s="340"/>
      <c r="M274" s="310" t="str">
        <f t="shared" ref="M274:M277" si="37">+IF(I274="A",IF(ISBLANK(J274),"未入力あり",IF(J274="はい","○","×")),"")</f>
        <v>○</v>
      </c>
      <c r="O274" s="118"/>
    </row>
    <row r="275" spans="1:15" ht="34.5" customHeight="1" thickBot="1">
      <c r="A275" s="289">
        <v>275</v>
      </c>
      <c r="C275" s="893"/>
      <c r="D275" s="893"/>
      <c r="E275" s="1025" t="s">
        <v>1322</v>
      </c>
      <c r="F275" s="1002"/>
      <c r="G275" s="1002"/>
      <c r="H275" s="928" t="s">
        <v>1581</v>
      </c>
      <c r="I275" s="964" t="s">
        <v>1227</v>
      </c>
      <c r="J275" s="66" t="s">
        <v>1778</v>
      </c>
      <c r="K275" s="969"/>
      <c r="M275" s="310" t="str">
        <f t="shared" si="37"/>
        <v>○</v>
      </c>
      <c r="O275" s="118"/>
    </row>
    <row r="276" spans="1:15" ht="34.5" customHeight="1" thickBot="1">
      <c r="A276" s="289">
        <v>276</v>
      </c>
      <c r="C276" s="893"/>
      <c r="D276" s="893"/>
      <c r="E276" s="1046" t="s">
        <v>1323</v>
      </c>
      <c r="F276" s="1016"/>
      <c r="G276" s="1016"/>
      <c r="H276" s="939" t="s">
        <v>1582</v>
      </c>
      <c r="I276" s="979" t="s">
        <v>1227</v>
      </c>
      <c r="J276" s="66" t="s">
        <v>1778</v>
      </c>
      <c r="K276" s="345" t="s">
        <v>1607</v>
      </c>
      <c r="M276" s="310" t="str">
        <f t="shared" si="37"/>
        <v>○</v>
      </c>
      <c r="O276" s="118"/>
    </row>
    <row r="277" spans="1:15" ht="30.6" customHeight="1" thickBot="1">
      <c r="A277" s="289">
        <v>277</v>
      </c>
      <c r="C277" s="893"/>
      <c r="D277" s="893"/>
      <c r="E277" s="1046"/>
      <c r="F277" s="1016"/>
      <c r="G277" s="1016"/>
      <c r="H277" s="932" t="s">
        <v>680</v>
      </c>
      <c r="I277" s="981" t="s">
        <v>1526</v>
      </c>
      <c r="J277" s="66" t="s">
        <v>1778</v>
      </c>
      <c r="K277" s="347"/>
      <c r="M277" s="310" t="str">
        <f t="shared" si="37"/>
        <v>○</v>
      </c>
      <c r="O277" s="118"/>
    </row>
    <row r="278" spans="1:15" ht="14.25" thickBot="1">
      <c r="A278" s="289">
        <v>278</v>
      </c>
      <c r="C278" s="893"/>
      <c r="D278" s="1049"/>
      <c r="E278" s="1025"/>
      <c r="F278" s="1016"/>
      <c r="G278" s="1016"/>
      <c r="H278" s="939" t="s">
        <v>681</v>
      </c>
      <c r="I278" s="979" t="s">
        <v>1525</v>
      </c>
      <c r="J278" s="1117" t="s">
        <v>1777</v>
      </c>
      <c r="K278" s="345"/>
      <c r="M278" s="310" t="str">
        <f t="shared" ref="M278" si="38">IF(ISBLANK(J278),"未入力あり","〇")</f>
        <v>〇</v>
      </c>
      <c r="O278" s="118"/>
    </row>
    <row r="279" spans="1:15" ht="14.25" thickBot="1">
      <c r="A279" s="289">
        <v>279</v>
      </c>
      <c r="C279" s="1049"/>
      <c r="D279" s="1049"/>
      <c r="E279" s="1050" t="s">
        <v>1483</v>
      </c>
      <c r="F279" s="894"/>
      <c r="G279" s="895"/>
      <c r="H279" s="1051"/>
      <c r="I279" s="1051"/>
      <c r="J279" s="1118"/>
      <c r="K279" s="878"/>
      <c r="O279" s="118"/>
    </row>
    <row r="280" spans="1:15" ht="14.25" thickBot="1">
      <c r="A280" s="289">
        <v>280</v>
      </c>
      <c r="C280" s="1049"/>
      <c r="D280" s="1049"/>
      <c r="E280" s="1052"/>
      <c r="F280" s="898"/>
      <c r="G280" s="898"/>
      <c r="H280" s="1053" t="s">
        <v>1516</v>
      </c>
      <c r="I280" s="1053"/>
      <c r="J280" s="1119"/>
      <c r="K280" s="881"/>
      <c r="M280" s="882"/>
      <c r="O280" s="118"/>
    </row>
    <row r="281" spans="1:15" ht="14.25" customHeight="1" thickBot="1">
      <c r="A281" s="289">
        <v>281</v>
      </c>
      <c r="C281" s="874"/>
      <c r="D281" s="874"/>
      <c r="E281" s="1049"/>
      <c r="F281" s="1049" t="s">
        <v>1484</v>
      </c>
      <c r="G281" s="1054"/>
      <c r="H281" s="928" t="s">
        <v>1517</v>
      </c>
      <c r="I281" s="964" t="s">
        <v>1227</v>
      </c>
      <c r="J281" s="879" t="s">
        <v>1778</v>
      </c>
      <c r="K281" s="880"/>
      <c r="M281" s="310" t="str">
        <f>+IF(I281="A",IF(ISBLANK(J281),"未入力あり",IF(J281="はい","○","×")),"")</f>
        <v>○</v>
      </c>
      <c r="O281" s="118"/>
    </row>
    <row r="282" spans="1:15" ht="14.25" customHeight="1" thickBot="1">
      <c r="A282" s="289">
        <v>282</v>
      </c>
      <c r="C282" s="874"/>
      <c r="D282" s="874"/>
      <c r="E282" s="1049"/>
      <c r="F282" s="894" t="s">
        <v>1485</v>
      </c>
      <c r="G282" s="1037"/>
      <c r="H282" s="1037" t="s">
        <v>1518</v>
      </c>
      <c r="I282" s="964" t="s">
        <v>1227</v>
      </c>
      <c r="J282" s="66" t="s">
        <v>1778</v>
      </c>
      <c r="K282" s="876"/>
      <c r="M282" s="310" t="str">
        <f t="shared" ref="M282:M294" si="39">+IF(I282="A",IF(ISBLANK(J282),"未入力あり",IF(J282="はい","○","×")),"")</f>
        <v>○</v>
      </c>
      <c r="O282" s="118"/>
    </row>
    <row r="283" spans="1:15" ht="14.25" thickBot="1">
      <c r="A283" s="289">
        <v>283</v>
      </c>
      <c r="C283" s="874"/>
      <c r="D283" s="874"/>
      <c r="E283" s="1049"/>
      <c r="F283" s="1049"/>
      <c r="G283" s="1055" t="s">
        <v>1486</v>
      </c>
      <c r="H283" s="1055" t="s">
        <v>1519</v>
      </c>
      <c r="I283" s="964" t="s">
        <v>1227</v>
      </c>
      <c r="J283" s="66" t="s">
        <v>1778</v>
      </c>
      <c r="K283" s="876"/>
      <c r="M283" s="310" t="str">
        <f t="shared" si="39"/>
        <v>○</v>
      </c>
      <c r="O283" s="118"/>
    </row>
    <row r="284" spans="1:15" ht="14.25" thickBot="1">
      <c r="A284" s="289">
        <v>284</v>
      </c>
      <c r="C284" s="874"/>
      <c r="D284" s="874"/>
      <c r="E284" s="1049"/>
      <c r="F284" s="1049"/>
      <c r="G284" s="1055" t="s">
        <v>1487</v>
      </c>
      <c r="H284" s="1056" t="s">
        <v>1488</v>
      </c>
      <c r="I284" s="964" t="s">
        <v>1227</v>
      </c>
      <c r="J284" s="66" t="s">
        <v>1778</v>
      </c>
      <c r="K284" s="876"/>
      <c r="M284" s="310" t="str">
        <f t="shared" si="39"/>
        <v>○</v>
      </c>
      <c r="O284" s="118"/>
    </row>
    <row r="285" spans="1:15" ht="14.25" thickBot="1">
      <c r="A285" s="289">
        <v>285</v>
      </c>
      <c r="C285" s="874"/>
      <c r="D285" s="874"/>
      <c r="E285" s="1049"/>
      <c r="F285" s="1049"/>
      <c r="G285" s="1055" t="s">
        <v>1489</v>
      </c>
      <c r="H285" s="1055" t="s">
        <v>1490</v>
      </c>
      <c r="I285" s="964" t="s">
        <v>1227</v>
      </c>
      <c r="J285" s="66" t="s">
        <v>1778</v>
      </c>
      <c r="K285" s="876"/>
      <c r="M285" s="310" t="str">
        <f t="shared" si="39"/>
        <v>○</v>
      </c>
      <c r="O285" s="118"/>
    </row>
    <row r="286" spans="1:15" ht="14.25" thickBot="1">
      <c r="A286" s="289">
        <v>286</v>
      </c>
      <c r="C286" s="874"/>
      <c r="D286" s="874"/>
      <c r="E286" s="1049"/>
      <c r="F286" s="1049"/>
      <c r="G286" s="1055" t="s">
        <v>1491</v>
      </c>
      <c r="H286" s="1057" t="s">
        <v>1492</v>
      </c>
      <c r="I286" s="964" t="s">
        <v>1227</v>
      </c>
      <c r="J286" s="66" t="s">
        <v>1778</v>
      </c>
      <c r="K286" s="876"/>
      <c r="M286" s="310" t="str">
        <f t="shared" si="39"/>
        <v>○</v>
      </c>
      <c r="O286" s="118"/>
    </row>
    <row r="287" spans="1:15" ht="14.25" thickBot="1">
      <c r="A287" s="289">
        <v>287</v>
      </c>
      <c r="C287" s="874"/>
      <c r="D287" s="874"/>
      <c r="E287" s="1049"/>
      <c r="F287" s="1049"/>
      <c r="G287" s="1055" t="s">
        <v>1493</v>
      </c>
      <c r="H287" s="1057" t="s">
        <v>1494</v>
      </c>
      <c r="I287" s="964" t="s">
        <v>1227</v>
      </c>
      <c r="J287" s="66" t="s">
        <v>1778</v>
      </c>
      <c r="K287" s="876"/>
      <c r="M287" s="310" t="str">
        <f t="shared" si="39"/>
        <v>○</v>
      </c>
      <c r="O287" s="118"/>
    </row>
    <row r="288" spans="1:15" ht="14.25" thickBot="1">
      <c r="A288" s="289">
        <v>288</v>
      </c>
      <c r="C288" s="874"/>
      <c r="D288" s="874"/>
      <c r="E288" s="1049"/>
      <c r="F288" s="1049"/>
      <c r="G288" s="1055" t="s">
        <v>1495</v>
      </c>
      <c r="H288" s="1057" t="s">
        <v>1496</v>
      </c>
      <c r="I288" s="964" t="s">
        <v>1227</v>
      </c>
      <c r="J288" s="66" t="s">
        <v>1778</v>
      </c>
      <c r="K288" s="876"/>
      <c r="M288" s="310" t="str">
        <f t="shared" si="39"/>
        <v>○</v>
      </c>
      <c r="O288" s="118"/>
    </row>
    <row r="289" spans="1:15" ht="14.25" thickBot="1">
      <c r="A289" s="289">
        <v>289</v>
      </c>
      <c r="C289" s="874"/>
      <c r="D289" s="874"/>
      <c r="E289" s="1049"/>
      <c r="F289" s="1049"/>
      <c r="G289" s="1058" t="s">
        <v>1497</v>
      </c>
      <c r="H289" s="1057" t="s">
        <v>1498</v>
      </c>
      <c r="I289" s="964" t="s">
        <v>1227</v>
      </c>
      <c r="J289" s="66" t="s">
        <v>1778</v>
      </c>
      <c r="K289" s="876"/>
      <c r="M289" s="310" t="str">
        <f t="shared" si="39"/>
        <v>○</v>
      </c>
      <c r="O289" s="118"/>
    </row>
    <row r="290" spans="1:15" ht="14.25" thickBot="1">
      <c r="A290" s="289">
        <v>290</v>
      </c>
      <c r="C290" s="874"/>
      <c r="D290" s="874"/>
      <c r="E290" s="1049"/>
      <c r="F290" s="894" t="s">
        <v>1499</v>
      </c>
      <c r="G290" s="1059"/>
      <c r="H290" s="1057" t="s">
        <v>1520</v>
      </c>
      <c r="I290" s="1060"/>
      <c r="J290" s="1120"/>
      <c r="K290" s="1107"/>
      <c r="O290" s="118"/>
    </row>
    <row r="291" spans="1:15" ht="14.25" thickBot="1">
      <c r="A291" s="289">
        <v>291</v>
      </c>
      <c r="C291" s="874"/>
      <c r="D291" s="874"/>
      <c r="E291" s="1049"/>
      <c r="F291" s="1049"/>
      <c r="G291" s="1058" t="s">
        <v>1486</v>
      </c>
      <c r="H291" s="1057" t="s">
        <v>1500</v>
      </c>
      <c r="I291" s="964" t="s">
        <v>1227</v>
      </c>
      <c r="J291" s="66" t="s">
        <v>1778</v>
      </c>
      <c r="K291" s="876"/>
      <c r="M291" s="310" t="str">
        <f t="shared" si="39"/>
        <v>○</v>
      </c>
      <c r="O291" s="118"/>
    </row>
    <row r="292" spans="1:15" ht="14.25" thickBot="1">
      <c r="A292" s="289">
        <v>292</v>
      </c>
      <c r="C292" s="874"/>
      <c r="D292" s="874"/>
      <c r="E292" s="1049"/>
      <c r="F292" s="1049"/>
      <c r="G292" s="1055" t="s">
        <v>1487</v>
      </c>
      <c r="H292" s="1057" t="s">
        <v>1501</v>
      </c>
      <c r="I292" s="964" t="s">
        <v>1227</v>
      </c>
      <c r="J292" s="66" t="s">
        <v>1778</v>
      </c>
      <c r="K292" s="876"/>
      <c r="M292" s="310" t="str">
        <f t="shared" si="39"/>
        <v>○</v>
      </c>
      <c r="O292" s="118"/>
    </row>
    <row r="293" spans="1:15" ht="14.25" thickBot="1">
      <c r="A293" s="289">
        <v>293</v>
      </c>
      <c r="C293" s="874"/>
      <c r="D293" s="874"/>
      <c r="E293" s="1049"/>
      <c r="F293" s="1049"/>
      <c r="G293" s="1055" t="s">
        <v>1489</v>
      </c>
      <c r="H293" s="1057" t="s">
        <v>1502</v>
      </c>
      <c r="I293" s="964" t="s">
        <v>1227</v>
      </c>
      <c r="J293" s="66" t="s">
        <v>1778</v>
      </c>
      <c r="K293" s="876"/>
      <c r="M293" s="310" t="str">
        <f t="shared" si="39"/>
        <v>○</v>
      </c>
      <c r="O293" s="118"/>
    </row>
    <row r="294" spans="1:15" ht="14.25" thickBot="1">
      <c r="A294" s="289">
        <v>294</v>
      </c>
      <c r="C294" s="874"/>
      <c r="D294" s="874"/>
      <c r="E294" s="1049"/>
      <c r="F294" s="1049"/>
      <c r="G294" s="1055" t="s">
        <v>1491</v>
      </c>
      <c r="H294" s="1057" t="s">
        <v>1503</v>
      </c>
      <c r="I294" s="964" t="s">
        <v>1227</v>
      </c>
      <c r="J294" s="66" t="s">
        <v>1778</v>
      </c>
      <c r="K294" s="876"/>
      <c r="M294" s="310" t="str">
        <f t="shared" si="39"/>
        <v>○</v>
      </c>
      <c r="O294" s="118"/>
    </row>
    <row r="295" spans="1:15" ht="14.25" thickBot="1">
      <c r="A295" s="289">
        <v>295</v>
      </c>
      <c r="C295" s="874"/>
      <c r="D295" s="874"/>
      <c r="E295" s="1049"/>
      <c r="F295" s="1049"/>
      <c r="G295" s="1055" t="s">
        <v>1493</v>
      </c>
      <c r="H295" s="1057" t="s">
        <v>1504</v>
      </c>
      <c r="I295" s="964" t="s">
        <v>1227</v>
      </c>
      <c r="J295" s="66" t="s">
        <v>1778</v>
      </c>
      <c r="K295" s="876"/>
      <c r="M295" s="310" t="str">
        <f>+IF(I295="A",IF(ISBLANK(J295),"未入力あり",IF(J295="はい","○","×")),"")</f>
        <v>○</v>
      </c>
      <c r="O295" s="118"/>
    </row>
    <row r="296" spans="1:15" ht="14.25" thickBot="1">
      <c r="A296" s="289">
        <v>296</v>
      </c>
      <c r="C296" s="874"/>
      <c r="D296" s="874"/>
      <c r="E296" s="1049"/>
      <c r="F296" s="894" t="s">
        <v>1505</v>
      </c>
      <c r="G296" s="1061"/>
      <c r="H296" s="1062" t="s">
        <v>1506</v>
      </c>
      <c r="I296" s="1106"/>
      <c r="J296" s="1120"/>
      <c r="K296" s="1107"/>
      <c r="O296" s="118"/>
    </row>
    <row r="297" spans="1:15" ht="14.25" thickBot="1">
      <c r="A297" s="289">
        <v>297</v>
      </c>
      <c r="C297" s="874"/>
      <c r="D297" s="874"/>
      <c r="E297" s="1049"/>
      <c r="F297" s="1049"/>
      <c r="G297" s="1055" t="s">
        <v>1486</v>
      </c>
      <c r="H297" s="1055" t="s">
        <v>1507</v>
      </c>
      <c r="I297" s="964" t="s">
        <v>1227</v>
      </c>
      <c r="J297" s="66" t="s">
        <v>1778</v>
      </c>
      <c r="K297" s="876"/>
      <c r="M297" s="310" t="str">
        <f t="shared" ref="M297:M300" si="40">+IF(I297="A",IF(ISBLANK(J297),"未入力あり",IF(J297="はい","○","×")),"")</f>
        <v>○</v>
      </c>
      <c r="O297" s="118"/>
    </row>
    <row r="298" spans="1:15" ht="14.25" thickBot="1">
      <c r="A298" s="289">
        <v>298</v>
      </c>
      <c r="C298" s="874"/>
      <c r="D298" s="874"/>
      <c r="E298" s="1049"/>
      <c r="F298" s="1049"/>
      <c r="G298" s="1055" t="s">
        <v>1487</v>
      </c>
      <c r="H298" s="1055" t="s">
        <v>1508</v>
      </c>
      <c r="I298" s="964" t="s">
        <v>1227</v>
      </c>
      <c r="J298" s="66" t="s">
        <v>1778</v>
      </c>
      <c r="K298" s="876"/>
      <c r="M298" s="310" t="str">
        <f t="shared" si="40"/>
        <v>○</v>
      </c>
      <c r="O298" s="118"/>
    </row>
    <row r="299" spans="1:15" ht="14.25" thickBot="1">
      <c r="A299" s="289">
        <v>299</v>
      </c>
      <c r="C299" s="874"/>
      <c r="D299" s="874"/>
      <c r="E299" s="1049"/>
      <c r="F299" s="1049"/>
      <c r="G299" s="1055" t="s">
        <v>1489</v>
      </c>
      <c r="H299" s="1055" t="s">
        <v>1509</v>
      </c>
      <c r="I299" s="964" t="s">
        <v>1227</v>
      </c>
      <c r="J299" s="66" t="s">
        <v>1778</v>
      </c>
      <c r="K299" s="876"/>
      <c r="M299" s="310" t="str">
        <f t="shared" si="40"/>
        <v>○</v>
      </c>
      <c r="O299" s="118"/>
    </row>
    <row r="300" spans="1:15" ht="14.25" thickBot="1">
      <c r="A300" s="289">
        <v>300</v>
      </c>
      <c r="C300" s="874"/>
      <c r="D300" s="874"/>
      <c r="E300" s="1049"/>
      <c r="F300" s="1049"/>
      <c r="G300" s="1058" t="s">
        <v>1491</v>
      </c>
      <c r="H300" s="1055" t="s">
        <v>1521</v>
      </c>
      <c r="I300" s="964" t="s">
        <v>1227</v>
      </c>
      <c r="J300" s="66" t="s">
        <v>1778</v>
      </c>
      <c r="K300" s="876"/>
      <c r="M300" s="310" t="str">
        <f t="shared" si="40"/>
        <v>○</v>
      </c>
      <c r="O300" s="118"/>
    </row>
    <row r="301" spans="1:15" ht="14.25" thickBot="1">
      <c r="A301" s="289">
        <v>301</v>
      </c>
      <c r="C301" s="874"/>
      <c r="D301" s="874"/>
      <c r="E301" s="1049"/>
      <c r="F301" s="894"/>
      <c r="G301" s="1055" t="s">
        <v>1484</v>
      </c>
      <c r="H301" s="1057" t="s">
        <v>1511</v>
      </c>
      <c r="I301" s="964" t="s">
        <v>1227</v>
      </c>
      <c r="J301" s="877" t="s">
        <v>1786</v>
      </c>
      <c r="K301" s="876"/>
      <c r="M301" s="310" t="str">
        <f t="shared" ref="M301:M304" si="41">+IF(I301="A",IF(ISBLANK(J301),"未入力あり",IF(J301="どちらでもない","×","○")),"")</f>
        <v>○</v>
      </c>
      <c r="O301" s="118"/>
    </row>
    <row r="302" spans="1:15" ht="14.25" thickBot="1">
      <c r="A302" s="289">
        <v>302</v>
      </c>
      <c r="C302" s="874"/>
      <c r="D302" s="874"/>
      <c r="E302" s="1049"/>
      <c r="F302" s="1049"/>
      <c r="G302" s="1055" t="s">
        <v>1485</v>
      </c>
      <c r="H302" s="1057" t="s">
        <v>1512</v>
      </c>
      <c r="I302" s="964" t="s">
        <v>1227</v>
      </c>
      <c r="J302" s="877" t="s">
        <v>1786</v>
      </c>
      <c r="K302" s="876"/>
      <c r="M302" s="310" t="str">
        <f t="shared" si="41"/>
        <v>○</v>
      </c>
      <c r="O302" s="118"/>
    </row>
    <row r="303" spans="1:15" ht="14.25" thickBot="1">
      <c r="A303" s="289">
        <v>303</v>
      </c>
      <c r="C303" s="874"/>
      <c r="D303" s="874"/>
      <c r="E303" s="1049"/>
      <c r="F303" s="1049"/>
      <c r="G303" s="1055" t="s">
        <v>1499</v>
      </c>
      <c r="H303" s="1057" t="s">
        <v>1514</v>
      </c>
      <c r="I303" s="964" t="s">
        <v>1227</v>
      </c>
      <c r="J303" s="877" t="s">
        <v>1786</v>
      </c>
      <c r="K303" s="876"/>
      <c r="M303" s="310" t="str">
        <f t="shared" si="41"/>
        <v>○</v>
      </c>
      <c r="O303" s="118"/>
    </row>
    <row r="304" spans="1:15" ht="14.25" thickBot="1">
      <c r="A304" s="289">
        <v>304</v>
      </c>
      <c r="C304" s="874"/>
      <c r="D304" s="874"/>
      <c r="E304" s="1049"/>
      <c r="F304" s="1049"/>
      <c r="G304" s="1055" t="s">
        <v>1505</v>
      </c>
      <c r="H304" s="1057" t="s">
        <v>1513</v>
      </c>
      <c r="I304" s="964" t="s">
        <v>1227</v>
      </c>
      <c r="J304" s="877" t="s">
        <v>1786</v>
      </c>
      <c r="K304" s="876"/>
      <c r="M304" s="310" t="str">
        <f t="shared" si="41"/>
        <v>○</v>
      </c>
      <c r="O304" s="118"/>
    </row>
    <row r="305" spans="1:21" ht="14.25" thickBot="1">
      <c r="A305" s="289">
        <v>305</v>
      </c>
      <c r="C305" s="874"/>
      <c r="D305" s="1049"/>
      <c r="E305" s="897"/>
      <c r="F305" s="897"/>
      <c r="G305" s="1063" t="s">
        <v>1510</v>
      </c>
      <c r="H305" s="1064" t="s">
        <v>1515</v>
      </c>
      <c r="I305" s="964" t="s">
        <v>1227</v>
      </c>
      <c r="J305" s="877" t="s">
        <v>1786</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1316</v>
      </c>
      <c r="F307" s="891"/>
      <c r="G307" s="891"/>
      <c r="H307" s="896" t="s">
        <v>683</v>
      </c>
      <c r="I307" s="954" t="s">
        <v>1227</v>
      </c>
      <c r="J307" s="66" t="s">
        <v>1778</v>
      </c>
      <c r="K307" s="309"/>
      <c r="M307" s="310" t="str">
        <f t="shared" ref="M307" si="42">+IF(I307="A",IF(ISBLANK(J307),"未入力あり",IF(J307="はい","○","×")),"")</f>
        <v>○</v>
      </c>
      <c r="O307" s="118"/>
    </row>
    <row r="308" spans="1:21" ht="27.75" thickBot="1">
      <c r="A308" s="289">
        <v>308</v>
      </c>
      <c r="C308" s="312"/>
      <c r="D308" s="893"/>
      <c r="E308" s="889" t="s">
        <v>1317</v>
      </c>
      <c r="F308" s="891"/>
      <c r="G308" s="891"/>
      <c r="H308" s="896" t="s">
        <v>1583</v>
      </c>
      <c r="I308" s="954" t="s">
        <v>1227</v>
      </c>
      <c r="J308" s="288">
        <v>3</v>
      </c>
      <c r="K308" s="309" t="s">
        <v>1335</v>
      </c>
      <c r="M308" s="310" t="str">
        <f t="shared" ref="M308" si="43">+IF(I308="A",IF(ISBLANK(J308),"未入力あり",IF(J308&gt;=1,"○","×")),"")</f>
        <v>○</v>
      </c>
      <c r="O308" s="118"/>
    </row>
    <row r="309" spans="1:21" ht="14.25" thickBot="1">
      <c r="A309" s="289">
        <v>309</v>
      </c>
      <c r="C309" s="312"/>
      <c r="D309" s="893"/>
      <c r="E309" s="1025"/>
      <c r="F309" s="1002"/>
      <c r="G309" s="1026"/>
      <c r="H309" s="998" t="s">
        <v>1336</v>
      </c>
      <c r="I309" s="952" t="s">
        <v>1327</v>
      </c>
      <c r="J309" s="288">
        <v>2</v>
      </c>
      <c r="K309" s="311"/>
      <c r="M309" s="310" t="str">
        <f t="shared" ref="M309" si="44">IF(ISBLANK(J309),"未入力あり","〇")</f>
        <v>〇</v>
      </c>
      <c r="O309" s="118"/>
      <c r="T309" s="333"/>
      <c r="U309" s="334"/>
    </row>
    <row r="310" spans="1:21" ht="14.25" thickBot="1">
      <c r="A310" s="289">
        <v>310</v>
      </c>
      <c r="C310" s="312"/>
      <c r="D310" s="893"/>
      <c r="E310" s="1025" t="s">
        <v>1318</v>
      </c>
      <c r="F310" s="1002"/>
      <c r="G310" s="1002"/>
      <c r="H310" s="928" t="s">
        <v>684</v>
      </c>
      <c r="I310" s="964" t="s">
        <v>1227</v>
      </c>
      <c r="J310" s="66" t="s">
        <v>1778</v>
      </c>
      <c r="K310" s="340"/>
      <c r="M310" s="310" t="str">
        <f t="shared" ref="M310:M311" si="45">+IF(I310="A",IF(ISBLANK(J310),"未入力あり",IF(J310="はい","○","×")),"")</f>
        <v>○</v>
      </c>
      <c r="O310" s="118"/>
    </row>
    <row r="311" spans="1:21" ht="14.25" thickBot="1">
      <c r="A311" s="289">
        <v>311</v>
      </c>
      <c r="C311" s="312"/>
      <c r="D311" s="897"/>
      <c r="E311" s="1065" t="s">
        <v>1319</v>
      </c>
      <c r="F311" s="1017"/>
      <c r="G311" s="1017"/>
      <c r="H311" s="909" t="s">
        <v>1584</v>
      </c>
      <c r="I311" s="953" t="s">
        <v>1227</v>
      </c>
      <c r="J311" s="66" t="s">
        <v>1778</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1316</v>
      </c>
      <c r="F313" s="891"/>
      <c r="G313" s="891"/>
      <c r="H313" s="896" t="s">
        <v>686</v>
      </c>
      <c r="I313" s="1066" t="s">
        <v>1227</v>
      </c>
      <c r="J313" s="66" t="s">
        <v>1778</v>
      </c>
      <c r="K313" s="309"/>
      <c r="M313" s="310" t="str">
        <f t="shared" ref="M313:M340" si="46">+IF(I313="A",IF(ISBLANK(J313),"未入力あり",IF(J313="はい","○","×")),"")</f>
        <v>○</v>
      </c>
      <c r="O313" s="118"/>
    </row>
    <row r="314" spans="1:21" ht="27.75" thickBot="1">
      <c r="A314" s="289">
        <v>314</v>
      </c>
      <c r="C314" s="312"/>
      <c r="D314" s="893"/>
      <c r="E314" s="1046"/>
      <c r="F314" s="1016"/>
      <c r="G314" s="1016"/>
      <c r="H314" s="941" t="s">
        <v>1426</v>
      </c>
      <c r="I314" s="1067" t="s">
        <v>1324</v>
      </c>
      <c r="J314" s="100" t="s">
        <v>1787</v>
      </c>
      <c r="K314" s="345"/>
      <c r="M314" s="310" t="str">
        <f t="shared" ref="M314:M330" si="47">IF(ISBLANK(J314),"未入力あり","〇")</f>
        <v>〇</v>
      </c>
      <c r="O314" s="118"/>
    </row>
    <row r="315" spans="1:21" ht="52.15" customHeight="1" thickBot="1">
      <c r="A315" s="289">
        <v>315</v>
      </c>
      <c r="C315" s="312"/>
      <c r="D315" s="893"/>
      <c r="E315" s="1046"/>
      <c r="F315" s="1016"/>
      <c r="G315" s="1016"/>
      <c r="H315" s="932" t="s">
        <v>1585</v>
      </c>
      <c r="I315" s="1068" t="s">
        <v>1337</v>
      </c>
      <c r="J315" s="66" t="s">
        <v>1778</v>
      </c>
      <c r="K315" s="940" t="s">
        <v>1425</v>
      </c>
      <c r="M315" s="310" t="str">
        <f t="shared" si="47"/>
        <v>〇</v>
      </c>
      <c r="O315" s="118"/>
    </row>
    <row r="316" spans="1:21" ht="14.25" thickBot="1">
      <c r="A316" s="289">
        <v>316</v>
      </c>
      <c r="B316" s="312"/>
      <c r="C316" s="312"/>
      <c r="D316" s="893"/>
      <c r="E316" s="1046"/>
      <c r="F316" s="1016"/>
      <c r="G316" s="1016"/>
      <c r="H316" s="1011" t="s">
        <v>687</v>
      </c>
      <c r="I316" s="1069" t="s">
        <v>533</v>
      </c>
      <c r="J316" s="66" t="s">
        <v>1778</v>
      </c>
      <c r="K316" s="365"/>
      <c r="M316" s="310" t="str">
        <f t="shared" si="47"/>
        <v>〇</v>
      </c>
      <c r="O316" s="118"/>
    </row>
    <row r="317" spans="1:21" ht="27.75" thickBot="1">
      <c r="A317" s="289">
        <v>317</v>
      </c>
      <c r="B317" s="312"/>
      <c r="C317" s="312"/>
      <c r="D317" s="893"/>
      <c r="E317" s="1046"/>
      <c r="F317" s="1016"/>
      <c r="G317" s="1016"/>
      <c r="H317" s="1070" t="s">
        <v>1586</v>
      </c>
      <c r="I317" s="951" t="str">
        <f>IF(J316="はい","B",IF(J316="いいえ","-","B／-"))</f>
        <v>B</v>
      </c>
      <c r="J317" s="66" t="s">
        <v>1778</v>
      </c>
      <c r="K317" s="352"/>
      <c r="M317" s="310" t="str">
        <f t="shared" si="47"/>
        <v>〇</v>
      </c>
      <c r="O317" s="118"/>
    </row>
    <row r="318" spans="1:21" ht="14.25" thickBot="1">
      <c r="A318" s="289">
        <v>318</v>
      </c>
      <c r="B318" s="312"/>
      <c r="C318" s="312"/>
      <c r="D318" s="893"/>
      <c r="E318" s="1046"/>
      <c r="F318" s="1016"/>
      <c r="G318" s="1016"/>
      <c r="H318" s="944" t="s">
        <v>1426</v>
      </c>
      <c r="I318" s="1067" t="s">
        <v>1324</v>
      </c>
      <c r="J318" s="100" t="s">
        <v>1788</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1778</v>
      </c>
      <c r="K319" s="365"/>
      <c r="M319" s="310" t="str">
        <f t="shared" si="47"/>
        <v>〇</v>
      </c>
      <c r="O319" s="118"/>
    </row>
    <row r="320" spans="1:21" ht="27.75" thickBot="1">
      <c r="A320" s="289">
        <v>320</v>
      </c>
      <c r="B320" s="312"/>
      <c r="C320" s="312"/>
      <c r="D320" s="893"/>
      <c r="E320" s="1046"/>
      <c r="F320" s="1016"/>
      <c r="G320" s="1016"/>
      <c r="H320" s="1070" t="s">
        <v>1587</v>
      </c>
      <c r="I320" s="951" t="str">
        <f>IF(J319="はい","B",IF(J319="いいえ","-","B／-"))</f>
        <v>B</v>
      </c>
      <c r="J320" s="66" t="s">
        <v>1777</v>
      </c>
      <c r="K320" s="352"/>
      <c r="M320" s="310" t="str">
        <f t="shared" si="47"/>
        <v>〇</v>
      </c>
      <c r="O320" s="118"/>
    </row>
    <row r="321" spans="1:21" ht="14.25" thickBot="1">
      <c r="A321" s="289">
        <v>321</v>
      </c>
      <c r="B321" s="312"/>
      <c r="C321" s="312"/>
      <c r="D321" s="893"/>
      <c r="E321" s="1046"/>
      <c r="F321" s="1016"/>
      <c r="G321" s="1016"/>
      <c r="H321" s="944" t="s">
        <v>1426</v>
      </c>
      <c r="I321" s="1067" t="s">
        <v>1324</v>
      </c>
      <c r="J321" s="100" t="s">
        <v>1789</v>
      </c>
      <c r="K321" s="345"/>
      <c r="M321" s="310" t="str">
        <f t="shared" si="47"/>
        <v>〇</v>
      </c>
      <c r="O321" s="118"/>
    </row>
    <row r="322" spans="1:21" ht="14.25" thickBot="1">
      <c r="A322" s="289">
        <v>322</v>
      </c>
      <c r="B322" s="312"/>
      <c r="C322" s="312"/>
      <c r="D322" s="893"/>
      <c r="E322" s="1046"/>
      <c r="F322" s="1016"/>
      <c r="G322" s="368"/>
      <c r="H322" s="366" t="s">
        <v>689</v>
      </c>
      <c r="I322" s="382" t="s">
        <v>533</v>
      </c>
      <c r="J322" s="66" t="s">
        <v>1778</v>
      </c>
      <c r="K322" s="365"/>
      <c r="M322" s="310" t="str">
        <f t="shared" si="47"/>
        <v>〇</v>
      </c>
      <c r="O322" s="118"/>
    </row>
    <row r="323" spans="1:21" ht="27.75" thickBot="1">
      <c r="A323" s="289">
        <v>323</v>
      </c>
      <c r="B323" s="312"/>
      <c r="C323" s="312"/>
      <c r="D323" s="893"/>
      <c r="E323" s="1046"/>
      <c r="F323" s="1016"/>
      <c r="G323" s="368"/>
      <c r="H323" s="1070" t="s">
        <v>1588</v>
      </c>
      <c r="I323" s="951" t="str">
        <f>IF(J322="はい","B",IF(J322="いいえ","-","B／-"))</f>
        <v>B</v>
      </c>
      <c r="J323" s="971" t="s">
        <v>1778</v>
      </c>
      <c r="K323" s="1070"/>
      <c r="M323" s="310" t="str">
        <f t="shared" si="47"/>
        <v>〇</v>
      </c>
      <c r="O323" s="118"/>
    </row>
    <row r="324" spans="1:21" ht="14.25" thickBot="1">
      <c r="A324" s="289">
        <v>324</v>
      </c>
      <c r="B324" s="312"/>
      <c r="C324" s="312"/>
      <c r="D324" s="893"/>
      <c r="E324" s="1046"/>
      <c r="F324" s="1016"/>
      <c r="G324" s="368"/>
      <c r="H324" s="944" t="s">
        <v>1426</v>
      </c>
      <c r="I324" s="1067" t="s">
        <v>1324</v>
      </c>
      <c r="J324" s="100" t="s">
        <v>1790</v>
      </c>
      <c r="K324" s="980"/>
      <c r="M324" s="310" t="str">
        <f t="shared" si="47"/>
        <v>〇</v>
      </c>
      <c r="O324" s="118"/>
    </row>
    <row r="325" spans="1:21" ht="14.25" thickBot="1">
      <c r="A325" s="289">
        <v>325</v>
      </c>
      <c r="B325" s="312"/>
      <c r="C325" s="312"/>
      <c r="D325" s="893"/>
      <c r="E325" s="1046"/>
      <c r="F325" s="1016"/>
      <c r="G325" s="368"/>
      <c r="H325" s="1011" t="s">
        <v>1589</v>
      </c>
      <c r="I325" s="1069" t="s">
        <v>533</v>
      </c>
      <c r="J325" s="971" t="s">
        <v>1778</v>
      </c>
      <c r="K325" s="989"/>
      <c r="M325" s="310" t="str">
        <f t="shared" si="47"/>
        <v>〇</v>
      </c>
      <c r="O325" s="118"/>
    </row>
    <row r="326" spans="1:21" ht="27.75" thickBot="1">
      <c r="A326" s="289">
        <v>326</v>
      </c>
      <c r="B326" s="312"/>
      <c r="C326" s="312"/>
      <c r="D326" s="893"/>
      <c r="E326" s="1046"/>
      <c r="F326" s="1016"/>
      <c r="G326" s="368"/>
      <c r="H326" s="1070" t="s">
        <v>1590</v>
      </c>
      <c r="I326" s="951" t="str">
        <f>IF(J325="はい","B",IF(J325="いいえ","-","B／-"))</f>
        <v>B</v>
      </c>
      <c r="J326" s="971" t="s">
        <v>1778</v>
      </c>
      <c r="K326" s="1070"/>
      <c r="M326" s="310" t="str">
        <f t="shared" si="47"/>
        <v>〇</v>
      </c>
      <c r="O326" s="118"/>
    </row>
    <row r="327" spans="1:21" ht="14.25" thickBot="1">
      <c r="A327" s="289">
        <v>327</v>
      </c>
      <c r="B327" s="312"/>
      <c r="C327" s="312"/>
      <c r="D327" s="893"/>
      <c r="E327" s="1046"/>
      <c r="F327" s="1016"/>
      <c r="G327" s="368"/>
      <c r="H327" s="944" t="s">
        <v>1426</v>
      </c>
      <c r="I327" s="1067" t="s">
        <v>1324</v>
      </c>
      <c r="J327" s="100" t="s">
        <v>1790</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1778</v>
      </c>
      <c r="K328" s="989"/>
      <c r="M328" s="310" t="str">
        <f t="shared" si="47"/>
        <v>〇</v>
      </c>
      <c r="O328" s="118"/>
    </row>
    <row r="329" spans="1:21" ht="27.75" thickBot="1">
      <c r="A329" s="289">
        <v>329</v>
      </c>
      <c r="B329" s="312"/>
      <c r="C329" s="312"/>
      <c r="D329" s="893"/>
      <c r="E329" s="1046"/>
      <c r="F329" s="1016"/>
      <c r="G329" s="368"/>
      <c r="H329" s="1070" t="s">
        <v>1591</v>
      </c>
      <c r="I329" s="951" t="str">
        <f>IF(J328="はい","B",IF(J328="いいえ","-","B／-"))</f>
        <v>B</v>
      </c>
      <c r="J329" s="971" t="s">
        <v>1778</v>
      </c>
      <c r="K329" s="1070"/>
      <c r="M329" s="310" t="str">
        <f t="shared" si="47"/>
        <v>〇</v>
      </c>
      <c r="O329" s="118"/>
    </row>
    <row r="330" spans="1:21" ht="14.25" thickBot="1">
      <c r="A330" s="289">
        <v>330</v>
      </c>
      <c r="B330" s="312"/>
      <c r="C330" s="312"/>
      <c r="D330" s="893"/>
      <c r="E330" s="1046"/>
      <c r="F330" s="1016"/>
      <c r="G330" s="368"/>
      <c r="H330" s="944" t="s">
        <v>1426</v>
      </c>
      <c r="I330" s="1067" t="s">
        <v>1324</v>
      </c>
      <c r="J330" s="100" t="s">
        <v>1790</v>
      </c>
      <c r="K330" s="980"/>
      <c r="M330" s="310" t="str">
        <f t="shared" si="47"/>
        <v>〇</v>
      </c>
      <c r="O330" s="118"/>
    </row>
    <row r="331" spans="1:21" ht="14.25" thickBot="1">
      <c r="A331" s="289">
        <v>331</v>
      </c>
      <c r="C331" s="312"/>
      <c r="D331" s="893"/>
      <c r="E331" s="1046"/>
      <c r="F331" s="1016"/>
      <c r="G331" s="368"/>
      <c r="H331" s="899" t="s">
        <v>691</v>
      </c>
      <c r="I331" s="1071" t="s">
        <v>1227</v>
      </c>
      <c r="J331" s="971" t="s">
        <v>1778</v>
      </c>
      <c r="K331" s="986"/>
      <c r="M331" s="310" t="str">
        <f t="shared" si="46"/>
        <v>○</v>
      </c>
      <c r="O331" s="118"/>
    </row>
    <row r="332" spans="1:21" ht="14.25" thickBot="1">
      <c r="A332" s="289">
        <v>332</v>
      </c>
      <c r="C332" s="312"/>
      <c r="D332" s="893"/>
      <c r="E332" s="889" t="s">
        <v>1317</v>
      </c>
      <c r="F332" s="891"/>
      <c r="G332" s="319"/>
      <c r="H332" s="896" t="s">
        <v>692</v>
      </c>
      <c r="I332" s="1066" t="s">
        <v>1227</v>
      </c>
      <c r="J332" s="971" t="s">
        <v>1778</v>
      </c>
      <c r="K332" s="987"/>
      <c r="M332" s="310" t="str">
        <f t="shared" si="46"/>
        <v>○</v>
      </c>
      <c r="O332" s="118"/>
    </row>
    <row r="333" spans="1:21" ht="27.75" thickBot="1">
      <c r="A333" s="289">
        <v>333</v>
      </c>
      <c r="C333" s="312"/>
      <c r="D333" s="893"/>
      <c r="E333" s="1046"/>
      <c r="F333" s="1016"/>
      <c r="G333" s="368"/>
      <c r="H333" s="899" t="s">
        <v>1338</v>
      </c>
      <c r="I333" s="1072" t="s">
        <v>1227</v>
      </c>
      <c r="J333" s="971" t="s">
        <v>1778</v>
      </c>
      <c r="K333" s="983"/>
      <c r="M333" s="310" t="str">
        <f t="shared" si="46"/>
        <v>○</v>
      </c>
      <c r="O333" s="118"/>
    </row>
    <row r="334" spans="1:21" ht="14.25" thickBot="1">
      <c r="A334" s="289">
        <v>334</v>
      </c>
      <c r="C334" s="312"/>
      <c r="D334" s="893"/>
      <c r="E334" s="889" t="s">
        <v>1318</v>
      </c>
      <c r="F334" s="891"/>
      <c r="G334" s="319"/>
      <c r="H334" s="896" t="s">
        <v>693</v>
      </c>
      <c r="I334" s="1073" t="s">
        <v>1227</v>
      </c>
      <c r="J334" s="971" t="s">
        <v>1778</v>
      </c>
      <c r="K334" s="972"/>
      <c r="M334" s="310" t="str">
        <f>+IF(I334="A",IF(ISBLANK(J334),"未入力あり",IF(J334="はい","○","×")),"")</f>
        <v>○</v>
      </c>
      <c r="O334" s="118"/>
    </row>
    <row r="335" spans="1:21" ht="41.25" thickBot="1">
      <c r="A335" s="289">
        <v>335</v>
      </c>
      <c r="C335" s="312"/>
      <c r="D335" s="893"/>
      <c r="E335" s="1025"/>
      <c r="F335" s="1002"/>
      <c r="G335" s="380"/>
      <c r="H335" s="918" t="s">
        <v>1339</v>
      </c>
      <c r="I335" s="1074" t="s">
        <v>533</v>
      </c>
      <c r="J335" s="991">
        <v>1</v>
      </c>
      <c r="K335" s="1197" t="s">
        <v>1708</v>
      </c>
      <c r="M335" s="310" t="str">
        <f>IF(ISBLANK(J335),"未入力あり","〇")</f>
        <v>〇</v>
      </c>
      <c r="O335" s="118"/>
    </row>
    <row r="336" spans="1:21" ht="14.25" thickBot="1">
      <c r="A336" s="289">
        <v>336</v>
      </c>
      <c r="C336" s="312"/>
      <c r="D336" s="893"/>
      <c r="E336" s="889" t="s">
        <v>1319</v>
      </c>
      <c r="F336" s="891"/>
      <c r="G336" s="319"/>
      <c r="H336" s="896" t="s">
        <v>694</v>
      </c>
      <c r="I336" s="1066" t="s">
        <v>1227</v>
      </c>
      <c r="J336" s="971" t="s">
        <v>1778</v>
      </c>
      <c r="K336" s="972"/>
      <c r="M336" s="310" t="str">
        <f t="shared" si="46"/>
        <v>○</v>
      </c>
      <c r="O336" s="118"/>
      <c r="T336" s="333"/>
      <c r="U336" s="334"/>
    </row>
    <row r="337" spans="1:21" ht="27.75" thickBot="1">
      <c r="A337" s="289">
        <v>337</v>
      </c>
      <c r="C337" s="312"/>
      <c r="D337" s="893"/>
      <c r="E337" s="1025"/>
      <c r="F337" s="1002"/>
      <c r="G337" s="380"/>
      <c r="H337" s="998" t="s">
        <v>1426</v>
      </c>
      <c r="I337" s="1067" t="s">
        <v>1340</v>
      </c>
      <c r="J337" s="100" t="s">
        <v>1787</v>
      </c>
      <c r="K337" s="969"/>
      <c r="M337" s="310" t="str">
        <f>IF(ISBLANK(J337),"未入力あり","〇")</f>
        <v>〇</v>
      </c>
      <c r="O337" s="118"/>
      <c r="T337" s="333"/>
      <c r="U337" s="334"/>
    </row>
    <row r="338" spans="1:21" ht="27.75" thickBot="1">
      <c r="A338" s="289">
        <v>338</v>
      </c>
      <c r="C338" s="312"/>
      <c r="D338" s="893"/>
      <c r="E338" s="1025" t="s">
        <v>1320</v>
      </c>
      <c r="F338" s="1002"/>
      <c r="G338" s="369"/>
      <c r="H338" s="928" t="s">
        <v>695</v>
      </c>
      <c r="I338" s="1071" t="s">
        <v>1227</v>
      </c>
      <c r="J338" s="971" t="s">
        <v>1778</v>
      </c>
      <c r="K338" s="969" t="s">
        <v>696</v>
      </c>
      <c r="M338" s="310" t="str">
        <f>+IF(I338="A",IF(ISBLANK(J338),"未入力あり",IF(J338="はい","○","×")),"")</f>
        <v>○</v>
      </c>
      <c r="O338" s="118"/>
    </row>
    <row r="339" spans="1:21" ht="27.75" thickBot="1">
      <c r="A339" s="289">
        <v>339</v>
      </c>
      <c r="C339" s="312"/>
      <c r="D339" s="893"/>
      <c r="E339" s="1046" t="s">
        <v>1321</v>
      </c>
      <c r="F339" s="1016"/>
      <c r="G339" s="368"/>
      <c r="H339" s="939" t="s">
        <v>697</v>
      </c>
      <c r="I339" s="1076" t="s">
        <v>1227</v>
      </c>
      <c r="J339" s="971" t="s">
        <v>1778</v>
      </c>
      <c r="K339" s="980"/>
      <c r="M339" s="310" t="str">
        <f t="shared" si="46"/>
        <v>○</v>
      </c>
      <c r="O339" s="118"/>
    </row>
    <row r="340" spans="1:21" ht="27.75" thickBot="1">
      <c r="A340" s="289">
        <v>340</v>
      </c>
      <c r="C340" s="325"/>
      <c r="D340" s="897"/>
      <c r="E340" s="1025"/>
      <c r="F340" s="1002"/>
      <c r="G340" s="369"/>
      <c r="H340" s="899" t="s">
        <v>698</v>
      </c>
      <c r="I340" s="1072" t="s">
        <v>1227</v>
      </c>
      <c r="J340" s="971" t="s">
        <v>1778</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1227</v>
      </c>
      <c r="J342" s="66" t="s">
        <v>1778</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1778</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1777</v>
      </c>
      <c r="K345" s="1077" t="s">
        <v>1673</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0</v>
      </c>
      <c r="K346" s="1077" t="s">
        <v>1673</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1778</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1778</v>
      </c>
      <c r="K349" s="1075" t="s">
        <v>1672</v>
      </c>
      <c r="M349" s="832" t="str">
        <f>+IF(I349="A",IF(ISBLANK(J349),"未入力あり",IF(J349&gt;=1,"○","×")),"")</f>
        <v>○</v>
      </c>
      <c r="O349" s="118"/>
    </row>
    <row r="350" spans="1:21" ht="14.25" thickBot="1">
      <c r="A350" s="289">
        <v>350</v>
      </c>
      <c r="C350" s="893"/>
      <c r="D350" s="1030"/>
      <c r="E350" s="1031"/>
      <c r="F350" s="372"/>
      <c r="G350" s="372"/>
      <c r="H350" s="980" t="s">
        <v>1341</v>
      </c>
      <c r="I350" s="979" t="str">
        <f>IF(OR(J344="はい",J348="はい"),"A",IF(AND(J344="いいえ",J348="いいえ"),"-","A/-"))</f>
        <v>A</v>
      </c>
      <c r="J350" s="971" t="s">
        <v>1778</v>
      </c>
      <c r="K350" s="1080" t="s">
        <v>1671</v>
      </c>
      <c r="M350" s="832" t="str">
        <f t="shared" ref="M350" si="49">+IF(I350="A",IF(ISBLANK(J350),"未入力あり",IF(J350&gt;=1,"○","×")),"")</f>
        <v>○</v>
      </c>
      <c r="O350" s="118"/>
    </row>
    <row r="351" spans="1:21" ht="21" customHeight="1" thickBot="1">
      <c r="A351" s="289">
        <v>351</v>
      </c>
      <c r="C351" s="897"/>
      <c r="D351" s="1038"/>
      <c r="E351" s="1039"/>
      <c r="F351" s="378"/>
      <c r="G351" s="378"/>
      <c r="H351" s="998" t="s">
        <v>1342</v>
      </c>
      <c r="I351" s="1072" t="s">
        <v>1340</v>
      </c>
      <c r="J351" s="100" t="s">
        <v>1787</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1227</v>
      </c>
      <c r="J353" s="66" t="s">
        <v>1778</v>
      </c>
      <c r="K353" s="309"/>
      <c r="M353" s="310" t="str">
        <f>+IF(I353="A",IF(ISBLANK(J353),"未入力あり",IF(J353="はい","○","×")),"")</f>
        <v>○</v>
      </c>
      <c r="O353" s="118"/>
    </row>
    <row r="354" spans="1:15" ht="14.25" thickBot="1">
      <c r="A354" s="289">
        <v>354</v>
      </c>
      <c r="C354" s="312"/>
      <c r="D354" s="371"/>
      <c r="E354" s="372"/>
      <c r="F354" s="372"/>
      <c r="G354" s="372"/>
      <c r="H354" s="899" t="s">
        <v>711</v>
      </c>
      <c r="I354" s="966" t="s">
        <v>1227</v>
      </c>
      <c r="J354" s="971" t="s">
        <v>1778</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1227</v>
      </c>
      <c r="J355" s="971" t="s">
        <v>1778</v>
      </c>
      <c r="K355" s="972" t="s">
        <v>1592</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1343</v>
      </c>
      <c r="J356" s="971" t="s">
        <v>1778</v>
      </c>
      <c r="K356" s="973" t="s">
        <v>1593</v>
      </c>
      <c r="M356" s="310" t="str">
        <f t="shared" ref="M356:M357" si="50">IF(ISBLANK(J356),"未入力あり","〇")</f>
        <v>〇</v>
      </c>
      <c r="O356" s="118"/>
    </row>
    <row r="357" spans="1:15" ht="42.75" customHeight="1" thickBot="1">
      <c r="A357" s="289">
        <v>357</v>
      </c>
      <c r="C357" s="312"/>
      <c r="D357" s="371"/>
      <c r="E357" s="372"/>
      <c r="F357" s="372"/>
      <c r="G357" s="372"/>
      <c r="H357" s="1081" t="s">
        <v>1642</v>
      </c>
      <c r="I357" s="1082" t="s">
        <v>533</v>
      </c>
      <c r="J357" s="1160" t="s">
        <v>1791</v>
      </c>
      <c r="K357" s="1083" t="s">
        <v>1592</v>
      </c>
      <c r="M357" s="310" t="str">
        <f t="shared" si="50"/>
        <v>〇</v>
      </c>
      <c r="O357" s="118"/>
    </row>
    <row r="358" spans="1:15" ht="14.25" thickBot="1">
      <c r="A358" s="289">
        <v>358</v>
      </c>
      <c r="C358" s="312"/>
      <c r="D358" s="377"/>
      <c r="E358" s="378"/>
      <c r="F358" s="378"/>
      <c r="G358" s="379"/>
      <c r="H358" s="918" t="s">
        <v>1643</v>
      </c>
      <c r="I358" s="1084" t="s">
        <v>533</v>
      </c>
      <c r="J358" s="100">
        <v>202311</v>
      </c>
      <c r="K358" s="1085" t="s">
        <v>1592</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B5"/>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1264</v>
      </c>
      <c r="C4" t="s">
        <v>1595</v>
      </c>
    </row>
    <row r="5" spans="1:17">
      <c r="A5" t="s">
        <v>412</v>
      </c>
      <c r="B5" s="385">
        <v>666</v>
      </c>
      <c r="C5" t="s">
        <v>1477</v>
      </c>
    </row>
    <row r="6" spans="1:17" ht="14.25" thickBot="1">
      <c r="A6" t="s">
        <v>719</v>
      </c>
      <c r="B6" s="80">
        <f>IFERROR(B5*12,"")</f>
        <v>7992</v>
      </c>
      <c r="C6" t="s">
        <v>720</v>
      </c>
    </row>
    <row r="7" spans="1:17" ht="14.25" thickBot="1">
      <c r="A7" t="s">
        <v>721</v>
      </c>
      <c r="B7" s="81">
        <f>IFERROR(B4/B6,"")</f>
        <v>0.15815815815815815</v>
      </c>
      <c r="C7" t="s">
        <v>722</v>
      </c>
    </row>
    <row r="10" spans="1:17">
      <c r="A10" t="s">
        <v>1714</v>
      </c>
    </row>
    <row r="11" spans="1:17">
      <c r="A11" t="s">
        <v>1715</v>
      </c>
    </row>
    <row r="12" spans="1:17">
      <c r="A12" t="s">
        <v>1716</v>
      </c>
    </row>
    <row r="13" spans="1:17">
      <c r="B13" s="1267" t="s">
        <v>1717</v>
      </c>
      <c r="C13" s="1267"/>
      <c r="D13" s="1267"/>
      <c r="E13" s="1267"/>
      <c r="F13" s="1267"/>
      <c r="G13" s="1267"/>
      <c r="H13" s="1267"/>
      <c r="I13" s="1267"/>
      <c r="J13" s="1267"/>
      <c r="K13" s="1267"/>
      <c r="L13" s="1267"/>
      <c r="M13" s="1267"/>
      <c r="N13" s="1267"/>
      <c r="O13" s="1267"/>
      <c r="P13" s="1267"/>
      <c r="Q13" s="1267"/>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Normal="100" zoomScaleSheetLayoutView="100"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74" t="s">
        <v>723</v>
      </c>
      <c r="B1" s="1275"/>
      <c r="C1" s="1275"/>
      <c r="D1" s="1275"/>
      <c r="E1" s="1275"/>
      <c r="F1" s="1275"/>
      <c r="I1" s="83"/>
      <c r="J1" s="85"/>
    </row>
    <row r="2" spans="1:10" ht="24.95" customHeight="1" thickTop="1" thickBot="1">
      <c r="A2" s="1276" t="s">
        <v>724</v>
      </c>
      <c r="B2" s="1277"/>
      <c r="C2" s="1277"/>
      <c r="D2" s="1277"/>
      <c r="E2" s="1277"/>
      <c r="F2" s="388" t="str">
        <f>IF(COUNTIF(G:G,"未入力")&gt;=1,"未入力",IF(COUNTIF(G:G,"入力済")=0,"不要","入力済"))</f>
        <v>不要</v>
      </c>
      <c r="G2" s="1273"/>
      <c r="H2" s="1270"/>
      <c r="I2" s="104"/>
    </row>
    <row r="3" spans="1:10" ht="5.0999999999999996" customHeight="1" thickTop="1">
      <c r="G3" s="1273"/>
      <c r="H3" s="1270"/>
      <c r="I3" s="389"/>
      <c r="J3" s="390"/>
    </row>
    <row r="4" spans="1:10" ht="20.100000000000001" customHeight="1">
      <c r="D4" s="391" t="s">
        <v>725</v>
      </c>
      <c r="E4" s="1278" t="str">
        <f>表紙!E2</f>
        <v>社会医療法人生長会　ベルランド総合病院</v>
      </c>
      <c r="F4" s="1279"/>
      <c r="G4" s="1273"/>
      <c r="H4" s="1270"/>
      <c r="I4" s="392"/>
      <c r="J4" s="139" t="s">
        <v>204</v>
      </c>
    </row>
    <row r="5" spans="1:10" ht="20.100000000000001" customHeight="1">
      <c r="D5" s="391" t="s">
        <v>878</v>
      </c>
      <c r="E5" t="s">
        <v>1679</v>
      </c>
      <c r="F5"/>
      <c r="J5" s="74"/>
    </row>
    <row r="6" spans="1:10" ht="54" customHeight="1">
      <c r="A6" s="1280" t="s">
        <v>1680</v>
      </c>
      <c r="B6" s="1280"/>
      <c r="C6" s="1280"/>
      <c r="D6" s="1280"/>
      <c r="E6" s="1280"/>
      <c r="F6" s="1280"/>
      <c r="J6" s="74"/>
    </row>
    <row r="7" spans="1:10" ht="30" customHeight="1" thickBot="1">
      <c r="A7" s="393"/>
      <c r="B7" s="394" t="s">
        <v>726</v>
      </c>
      <c r="C7" s="1198" t="s">
        <v>1709</v>
      </c>
      <c r="D7" s="395" t="s">
        <v>727</v>
      </c>
      <c r="E7" s="1281" t="s">
        <v>728</v>
      </c>
      <c r="F7" s="1282"/>
      <c r="J7" s="74"/>
    </row>
    <row r="8" spans="1:10" customFormat="1" ht="62.25" customHeight="1" thickBot="1">
      <c r="A8" s="396" t="s">
        <v>729</v>
      </c>
      <c r="B8" s="397">
        <v>126</v>
      </c>
      <c r="C8" s="398" t="s">
        <v>1531</v>
      </c>
      <c r="D8" s="1199" t="s">
        <v>1710</v>
      </c>
      <c r="E8" s="1271" t="s">
        <v>1711</v>
      </c>
      <c r="F8" s="1272"/>
      <c r="G8" s="400"/>
      <c r="I8" s="49"/>
      <c r="J8" s="74"/>
    </row>
    <row r="9" spans="1:10" customFormat="1" ht="62.25" customHeight="1" thickBot="1">
      <c r="A9" s="401">
        <v>1</v>
      </c>
      <c r="B9" s="397"/>
      <c r="C9" s="398" t="str">
        <f>+IFERROR(VLOOKUP($B9,'様式４(機能別)'!$A:$K,8,0),"")</f>
        <v/>
      </c>
      <c r="D9" s="105"/>
      <c r="E9" s="1268"/>
      <c r="F9" s="1269"/>
      <c r="G9" s="402" t="str">
        <f>IF(B9&lt;&gt;"",IF(AND(D9&lt;&gt;"",E9&lt;&gt;""),"入力済","未入力"),"不要")</f>
        <v>不要</v>
      </c>
      <c r="I9" s="49"/>
      <c r="J9" s="74"/>
    </row>
    <row r="10" spans="1:10" ht="62.25" customHeight="1" thickBot="1">
      <c r="A10" s="401">
        <v>2</v>
      </c>
      <c r="B10" s="77"/>
      <c r="C10" s="399" t="str">
        <f>+IFERROR(VLOOKUP($B10,'様式４(機能別)'!$A:$K,8,0),"")</f>
        <v/>
      </c>
      <c r="D10" s="105"/>
      <c r="E10" s="1268"/>
      <c r="F10" s="1269"/>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8"/>
      <c r="F11" s="1269"/>
      <c r="G11" s="402" t="str">
        <f>IF(B11&lt;&gt;"",IF(AND(D11&lt;&gt;"",E11&lt;&gt;""),"入力済","未入力"),"不要")</f>
        <v>不要</v>
      </c>
      <c r="H11" s="403"/>
      <c r="J11" s="116"/>
    </row>
    <row r="12" spans="1:10" ht="62.25" customHeight="1" thickBot="1">
      <c r="A12" s="401">
        <v>4</v>
      </c>
      <c r="B12" s="77"/>
      <c r="C12" s="399" t="str">
        <f>+IFERROR(VLOOKUP($B12,'様式４(機能別)'!$A:$K,8,0),"")</f>
        <v/>
      </c>
      <c r="D12" s="105"/>
      <c r="E12" s="1268"/>
      <c r="F12" s="1269"/>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8"/>
      <c r="F13" s="1269"/>
      <c r="G13" s="386" t="str">
        <f t="shared" si="0"/>
        <v>不要</v>
      </c>
      <c r="J13" s="74"/>
    </row>
    <row r="14" spans="1:10" ht="62.25" customHeight="1" thickBot="1">
      <c r="A14" s="401">
        <v>6</v>
      </c>
      <c r="B14" s="77"/>
      <c r="C14" s="399" t="str">
        <f>+IFERROR(VLOOKUP($B14,'様式４(機能別)'!$A:$K,8,0),"")</f>
        <v/>
      </c>
      <c r="D14" s="105"/>
      <c r="E14" s="1268"/>
      <c r="F14" s="1269"/>
      <c r="G14" s="402" t="str">
        <f t="shared" si="0"/>
        <v>不要</v>
      </c>
      <c r="H14" s="405"/>
      <c r="I14" s="404"/>
      <c r="J14" s="74"/>
    </row>
    <row r="15" spans="1:10" ht="62.25" customHeight="1" thickBot="1">
      <c r="A15" s="401">
        <v>7</v>
      </c>
      <c r="B15" s="77"/>
      <c r="C15" s="399" t="str">
        <f>+IFERROR(VLOOKUP($B15,'様式４(機能別)'!$A:$K,8,0),"")</f>
        <v/>
      </c>
      <c r="D15" s="105"/>
      <c r="E15" s="1268"/>
      <c r="F15" s="1269"/>
      <c r="G15" s="402" t="str">
        <f t="shared" si="0"/>
        <v>不要</v>
      </c>
      <c r="H15" s="405"/>
      <c r="J15" s="74"/>
    </row>
    <row r="16" spans="1:10" ht="62.25" customHeight="1" thickBot="1">
      <c r="A16" s="401">
        <v>8</v>
      </c>
      <c r="B16" s="77"/>
      <c r="C16" s="399" t="str">
        <f>+IFERROR(VLOOKUP($B16,'様式４(機能別)'!$A:$K,8,0),"")</f>
        <v/>
      </c>
      <c r="D16" s="105"/>
      <c r="E16" s="1268"/>
      <c r="F16" s="1269"/>
      <c r="G16" s="386" t="str">
        <f t="shared" si="0"/>
        <v>不要</v>
      </c>
      <c r="J16" s="74"/>
    </row>
    <row r="17" spans="1:10" ht="62.25" customHeight="1" thickBot="1">
      <c r="A17" s="401">
        <v>9</v>
      </c>
      <c r="B17" s="77"/>
      <c r="C17" s="399" t="str">
        <f>+IFERROR(VLOOKUP($B17,'様式４(機能別)'!$A:$K,8,0),"")</f>
        <v/>
      </c>
      <c r="D17" s="105"/>
      <c r="E17" s="1268"/>
      <c r="F17" s="1269"/>
      <c r="G17" s="386" t="str">
        <f t="shared" si="0"/>
        <v>不要</v>
      </c>
      <c r="J17" s="74"/>
    </row>
    <row r="18" spans="1:10" ht="62.25" customHeight="1" thickBot="1">
      <c r="A18" s="401">
        <v>10</v>
      </c>
      <c r="B18" s="77"/>
      <c r="C18" s="399" t="str">
        <f>+IFERROR(VLOOKUP($B18,'様式４(機能別)'!$A:$K,8,0),"")</f>
        <v/>
      </c>
      <c r="D18" s="105"/>
      <c r="E18" s="1268"/>
      <c r="F18" s="1269"/>
      <c r="G18" s="386" t="str">
        <f t="shared" si="0"/>
        <v>不要</v>
      </c>
      <c r="J18" s="74"/>
    </row>
    <row r="19" spans="1:10" ht="62.25" customHeight="1" thickBot="1">
      <c r="A19" s="401">
        <v>11</v>
      </c>
      <c r="B19" s="77"/>
      <c r="C19" s="399" t="str">
        <f>+IFERROR(VLOOKUP($B19,'様式４(機能別)'!$A:$K,8,0),"")</f>
        <v/>
      </c>
      <c r="D19" s="105"/>
      <c r="E19" s="1268"/>
      <c r="F19" s="1269"/>
      <c r="G19" s="386" t="str">
        <f t="shared" si="0"/>
        <v>不要</v>
      </c>
      <c r="J19" s="74"/>
    </row>
    <row r="20" spans="1:10" ht="62.25" customHeight="1" thickBot="1">
      <c r="A20" s="401">
        <v>12</v>
      </c>
      <c r="B20" s="77"/>
      <c r="C20" s="399" t="str">
        <f>+IFERROR(VLOOKUP($B20,'様式４(機能別)'!$A:$K,8,0),"")</f>
        <v/>
      </c>
      <c r="D20" s="105"/>
      <c r="E20" s="1268"/>
      <c r="F20" s="1269"/>
      <c r="G20" s="386" t="str">
        <f t="shared" si="0"/>
        <v>不要</v>
      </c>
      <c r="J20" s="74"/>
    </row>
    <row r="21" spans="1:10" ht="62.25" customHeight="1" thickBot="1">
      <c r="A21" s="401">
        <v>13</v>
      </c>
      <c r="B21" s="77"/>
      <c r="C21" s="399" t="str">
        <f>+IFERROR(VLOOKUP($B21,'様式４(機能別)'!$A:$K,8,0),"")</f>
        <v/>
      </c>
      <c r="D21" s="105"/>
      <c r="E21" s="1268"/>
      <c r="F21" s="1269"/>
      <c r="G21" s="386" t="str">
        <f t="shared" si="0"/>
        <v>不要</v>
      </c>
      <c r="J21" s="74"/>
    </row>
    <row r="22" spans="1:10" ht="62.25" customHeight="1" thickBot="1">
      <c r="A22" s="401">
        <v>14</v>
      </c>
      <c r="B22" s="77"/>
      <c r="C22" s="399" t="str">
        <f>+IFERROR(VLOOKUP($B22,'様式４(機能別)'!$A:$K,8,0),"")</f>
        <v/>
      </c>
      <c r="D22" s="105"/>
      <c r="E22" s="1268"/>
      <c r="F22" s="1269"/>
      <c r="G22" s="386" t="str">
        <f t="shared" si="0"/>
        <v>不要</v>
      </c>
      <c r="J22" s="74"/>
    </row>
    <row r="23" spans="1:10" ht="62.25" customHeight="1" thickBot="1">
      <c r="A23" s="401">
        <v>15</v>
      </c>
      <c r="B23" s="77"/>
      <c r="C23" s="399" t="str">
        <f>+IFERROR(VLOOKUP($B23,'様式４(機能別)'!$A:$K,8,0),"")</f>
        <v/>
      </c>
      <c r="D23" s="105"/>
      <c r="E23" s="1268"/>
      <c r="F23" s="1269"/>
      <c r="G23" s="386" t="str">
        <f t="shared" si="0"/>
        <v>不要</v>
      </c>
      <c r="J23" s="74"/>
    </row>
    <row r="24" spans="1:10" ht="62.25" customHeight="1" thickBot="1">
      <c r="A24" s="401">
        <v>16</v>
      </c>
      <c r="B24" s="77"/>
      <c r="C24" s="399" t="str">
        <f>+IFERROR(VLOOKUP($B24,'様式４(機能別)'!$A:$K,8,0),"")</f>
        <v/>
      </c>
      <c r="D24" s="105"/>
      <c r="E24" s="1268"/>
      <c r="F24" s="1269"/>
      <c r="G24" s="386" t="str">
        <f t="shared" si="0"/>
        <v>不要</v>
      </c>
      <c r="I24" s="406"/>
      <c r="J24" s="820"/>
    </row>
    <row r="25" spans="1:10" ht="62.25" customHeight="1" thickBot="1">
      <c r="A25" s="401">
        <v>17</v>
      </c>
      <c r="B25" s="77"/>
      <c r="C25" s="399" t="str">
        <f>+IFERROR(VLOOKUP($B25,'様式４(機能別)'!$A:$K,8,0),"")</f>
        <v/>
      </c>
      <c r="D25" s="105"/>
      <c r="E25" s="1268"/>
      <c r="F25" s="1269"/>
      <c r="G25" s="386" t="str">
        <f t="shared" si="0"/>
        <v>不要</v>
      </c>
      <c r="J25" s="820"/>
    </row>
    <row r="26" spans="1:10" ht="62.25" customHeight="1" thickBot="1">
      <c r="A26" s="401">
        <v>18</v>
      </c>
      <c r="B26" s="77"/>
      <c r="C26" s="399" t="str">
        <f>+IFERROR(VLOOKUP($B26,'様式４(機能別)'!$A:$K,8,0),"")</f>
        <v/>
      </c>
      <c r="D26" s="105"/>
      <c r="E26" s="1268"/>
      <c r="F26" s="1269"/>
      <c r="G26" s="386" t="str">
        <f t="shared" si="0"/>
        <v>不要</v>
      </c>
      <c r="J26" s="820"/>
    </row>
    <row r="27" spans="1:10" ht="62.25" customHeight="1" thickBot="1">
      <c r="A27" s="401">
        <v>19</v>
      </c>
      <c r="B27" s="77"/>
      <c r="C27" s="399" t="str">
        <f>+IFERROR(VLOOKUP($B27,'様式４(機能別)'!$A:$K,8,0),"")</f>
        <v/>
      </c>
      <c r="D27" s="105"/>
      <c r="E27" s="1268"/>
      <c r="F27" s="1269"/>
      <c r="G27" s="386" t="str">
        <f t="shared" si="0"/>
        <v>不要</v>
      </c>
      <c r="J27" s="820"/>
    </row>
    <row r="28" spans="1:10" ht="62.25" customHeight="1" thickBot="1">
      <c r="A28" s="401">
        <v>20</v>
      </c>
      <c r="B28" s="77"/>
      <c r="C28" s="399" t="str">
        <f>+IFERROR(VLOOKUP($B28,'様式４(機能別)'!$A:$K,8,0),"")</f>
        <v/>
      </c>
      <c r="D28" s="105"/>
      <c r="E28" s="1268"/>
      <c r="F28" s="1269"/>
      <c r="G28" s="386" t="str">
        <f t="shared" si="0"/>
        <v>不要</v>
      </c>
      <c r="J28" s="820"/>
    </row>
    <row r="29" spans="1:10" ht="62.25" customHeight="1" thickBot="1">
      <c r="A29" s="401">
        <v>21</v>
      </c>
      <c r="B29" s="77"/>
      <c r="C29" s="399" t="str">
        <f>+IFERROR(VLOOKUP($B29,'様式４(機能別)'!$A:$K,8,0),"")</f>
        <v/>
      </c>
      <c r="D29" s="105"/>
      <c r="E29" s="1268"/>
      <c r="F29" s="1269"/>
      <c r="G29" s="386" t="str">
        <f t="shared" si="0"/>
        <v>不要</v>
      </c>
      <c r="J29" s="820"/>
    </row>
    <row r="30" spans="1:10" ht="62.25" customHeight="1" thickBot="1">
      <c r="A30" s="401">
        <v>22</v>
      </c>
      <c r="B30" s="77"/>
      <c r="C30" s="399" t="str">
        <f>+IFERROR(VLOOKUP($B30,'様式４(機能別)'!$A:$K,8,0),"")</f>
        <v/>
      </c>
      <c r="D30" s="105"/>
      <c r="E30" s="1268"/>
      <c r="F30" s="1269"/>
      <c r="J30" s="820"/>
    </row>
    <row r="31" spans="1:10" ht="62.25" customHeight="1" thickBot="1">
      <c r="A31" s="401">
        <v>23</v>
      </c>
      <c r="B31" s="77"/>
      <c r="C31" s="399" t="str">
        <f>+IFERROR(VLOOKUP($B31,'様式４(機能別)'!$A:$K,8,0),"")</f>
        <v/>
      </c>
      <c r="D31" s="105"/>
      <c r="E31" s="1268"/>
      <c r="F31" s="1269"/>
      <c r="J31" s="820"/>
    </row>
    <row r="32" spans="1:10" ht="62.25" customHeight="1" thickBot="1">
      <c r="A32" s="401">
        <v>24</v>
      </c>
      <c r="B32" s="77"/>
      <c r="C32" s="399" t="str">
        <f>+IFERROR(VLOOKUP($B32,'様式４(機能別)'!$A:$K,8,0),"")</f>
        <v/>
      </c>
      <c r="D32" s="105"/>
      <c r="E32" s="1268"/>
      <c r="F32" s="1269"/>
      <c r="J32" s="820"/>
    </row>
    <row r="33" spans="1:10" ht="62.25" customHeight="1" thickBot="1">
      <c r="A33" s="401">
        <v>25</v>
      </c>
      <c r="B33" s="77"/>
      <c r="C33" s="399" t="str">
        <f>+IFERROR(VLOOKUP($B33,'様式４(機能別)'!$A:$K,8,0),"")</f>
        <v/>
      </c>
      <c r="D33" s="105"/>
      <c r="E33" s="1268"/>
      <c r="F33" s="1269"/>
      <c r="J33" s="820"/>
    </row>
    <row r="34" spans="1:10" ht="62.25" customHeight="1" thickBot="1">
      <c r="A34" s="401">
        <v>26</v>
      </c>
      <c r="B34" s="77"/>
      <c r="C34" s="399" t="str">
        <f>+IFERROR(VLOOKUP($B34,'様式４(機能別)'!$A:$K,8,0),"")</f>
        <v/>
      </c>
      <c r="D34" s="105"/>
      <c r="E34" s="1268"/>
      <c r="F34" s="1269"/>
      <c r="J34" s="820"/>
    </row>
    <row r="35" spans="1:10" ht="62.25" customHeight="1" thickBot="1">
      <c r="A35" s="401">
        <v>27</v>
      </c>
      <c r="B35" s="77"/>
      <c r="C35" s="399" t="str">
        <f>+IFERROR(VLOOKUP($B35,'様式４(機能別)'!$A:$K,8,0),"")</f>
        <v/>
      </c>
      <c r="D35" s="105"/>
      <c r="E35" s="1268"/>
      <c r="F35" s="1269"/>
      <c r="J35" s="820"/>
    </row>
    <row r="36" spans="1:10" ht="62.25" customHeight="1" thickBot="1">
      <c r="A36" s="401">
        <v>28</v>
      </c>
      <c r="B36" s="77"/>
      <c r="C36" s="399" t="str">
        <f>+IFERROR(VLOOKUP($B36,'様式４(機能別)'!$A:$K,8,0),"")</f>
        <v/>
      </c>
      <c r="D36" s="105"/>
      <c r="E36" s="1268"/>
      <c r="F36" s="1269"/>
      <c r="J36" s="820"/>
    </row>
    <row r="37" spans="1:10" ht="62.25" customHeight="1" thickBot="1">
      <c r="A37" s="401">
        <v>29</v>
      </c>
      <c r="B37" s="77"/>
      <c r="C37" s="399" t="str">
        <f>+IFERROR(VLOOKUP($B37,'様式４(機能別)'!$A:$K,8,0),"")</f>
        <v/>
      </c>
      <c r="D37" s="105"/>
      <c r="E37" s="1268"/>
      <c r="F37" s="1269"/>
      <c r="J37" s="820"/>
    </row>
    <row r="38" spans="1:10" ht="62.25" customHeight="1" thickBot="1">
      <c r="A38" s="401">
        <v>30</v>
      </c>
      <c r="B38" s="77"/>
      <c r="C38" s="399" t="str">
        <f>+IFERROR(VLOOKUP($B38,'様式４(機能別)'!$A:$K,8,0),"")</f>
        <v/>
      </c>
      <c r="D38" s="105"/>
      <c r="E38" s="1268"/>
      <c r="F38" s="1269"/>
      <c r="J38" s="820"/>
    </row>
    <row r="39" spans="1:10" ht="62.25" customHeight="1" thickBot="1">
      <c r="A39" s="401">
        <v>31</v>
      </c>
      <c r="B39" s="77"/>
      <c r="C39" s="399" t="str">
        <f>+IFERROR(VLOOKUP($B39,'様式４(機能別)'!$A:$K,8,0),"")</f>
        <v/>
      </c>
      <c r="D39" s="105"/>
      <c r="E39" s="1268"/>
      <c r="F39" s="1269"/>
      <c r="J39" s="820"/>
    </row>
    <row r="40" spans="1:10" ht="62.25" customHeight="1" thickBot="1">
      <c r="A40" s="401">
        <v>32</v>
      </c>
      <c r="B40" s="77"/>
      <c r="C40" s="399" t="str">
        <f>+IFERROR(VLOOKUP($B40,'様式４(機能別)'!$A:$K,8,0),"")</f>
        <v/>
      </c>
      <c r="D40" s="105"/>
      <c r="E40" s="1268"/>
      <c r="F40" s="1269"/>
      <c r="J40" s="820"/>
    </row>
    <row r="41" spans="1:10" ht="62.25" customHeight="1" thickBot="1">
      <c r="A41" s="401">
        <v>33</v>
      </c>
      <c r="B41" s="77"/>
      <c r="C41" s="399" t="str">
        <f>+IFERROR(VLOOKUP($B41,'様式４(機能別)'!$A:$K,8,0),"")</f>
        <v/>
      </c>
      <c r="D41" s="105"/>
      <c r="E41" s="1268"/>
      <c r="F41" s="1269"/>
      <c r="J41" s="820"/>
    </row>
    <row r="42" spans="1:10" ht="62.25" customHeight="1" thickBot="1">
      <c r="A42" s="401">
        <v>34</v>
      </c>
      <c r="B42" s="77"/>
      <c r="C42" s="399" t="str">
        <f>+IFERROR(VLOOKUP($B42,'様式４(機能別)'!$A:$K,8,0),"")</f>
        <v/>
      </c>
      <c r="D42" s="105"/>
      <c r="E42" s="1268"/>
      <c r="F42" s="1269"/>
      <c r="J42" s="820"/>
    </row>
    <row r="43" spans="1:10" ht="62.25" customHeight="1" thickBot="1">
      <c r="A43" s="401">
        <v>35</v>
      </c>
      <c r="B43" s="77"/>
      <c r="C43" s="399" t="str">
        <f>+IFERROR(VLOOKUP($B43,'様式４(機能別)'!$A:$K,8,0),"")</f>
        <v/>
      </c>
      <c r="D43" s="105"/>
      <c r="E43" s="1268"/>
      <c r="F43" s="1269"/>
      <c r="J43" s="820"/>
    </row>
    <row r="44" spans="1:10" ht="62.25" customHeight="1" thickBot="1">
      <c r="A44" s="401">
        <v>36</v>
      </c>
      <c r="B44" s="77"/>
      <c r="C44" s="399" t="str">
        <f>+IFERROR(VLOOKUP($B44,'様式４(機能別)'!$A:$K,8,0),"")</f>
        <v/>
      </c>
      <c r="D44" s="105"/>
      <c r="E44" s="1268"/>
      <c r="F44" s="1269"/>
      <c r="J44" s="820"/>
    </row>
    <row r="45" spans="1:10" ht="62.25" customHeight="1" thickBot="1">
      <c r="A45" s="401">
        <v>37</v>
      </c>
      <c r="B45" s="77"/>
      <c r="C45" s="399" t="str">
        <f>+IFERROR(VLOOKUP($B45,'様式４(機能別)'!$A:$K,8,0),"")</f>
        <v/>
      </c>
      <c r="D45" s="105"/>
      <c r="E45" s="1268"/>
      <c r="F45" s="1269"/>
      <c r="J45" s="820"/>
    </row>
    <row r="46" spans="1:10" ht="62.25" customHeight="1" thickBot="1">
      <c r="A46" s="401">
        <v>38</v>
      </c>
      <c r="B46" s="77"/>
      <c r="C46" s="399" t="str">
        <f>+IFERROR(VLOOKUP($B46,'様式４(機能別)'!$A:$K,8,0),"")</f>
        <v/>
      </c>
      <c r="D46" s="105"/>
      <c r="E46" s="1268"/>
      <c r="F46" s="1269"/>
      <c r="J46" s="820"/>
    </row>
    <row r="47" spans="1:10" ht="62.25" customHeight="1" thickBot="1">
      <c r="A47" s="401">
        <v>39</v>
      </c>
      <c r="B47" s="77"/>
      <c r="C47" s="399" t="str">
        <f>+IFERROR(VLOOKUP($B47,'様式４(機能別)'!$A:$K,8,0),"")</f>
        <v/>
      </c>
      <c r="D47" s="105"/>
      <c r="E47" s="1268"/>
      <c r="F47" s="1269"/>
      <c r="J47" s="820"/>
    </row>
    <row r="48" spans="1:10" ht="62.25" customHeight="1" thickBot="1">
      <c r="A48" s="401">
        <v>40</v>
      </c>
      <c r="B48" s="77"/>
      <c r="C48" s="399" t="str">
        <f>+IFERROR(VLOOKUP($B48,'様式４(機能別)'!$A:$K,8,0),"")</f>
        <v/>
      </c>
      <c r="D48" s="105"/>
      <c r="E48" s="1268"/>
      <c r="F48" s="1269"/>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13" zoomScale="85" zoomScaleNormal="85" zoomScaleSheetLayoutView="85" workbookViewId="0">
      <selection activeCell="J25" sqref="J25"/>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5" t="s">
        <v>170</v>
      </c>
      <c r="B1" s="1295"/>
      <c r="C1" s="1295"/>
      <c r="D1" s="1295"/>
      <c r="E1" s="1295"/>
      <c r="F1" s="1295"/>
      <c r="G1" s="1295"/>
      <c r="H1" s="1295"/>
      <c r="I1" s="1295"/>
      <c r="J1" s="1295"/>
      <c r="K1" s="1295"/>
      <c r="N1" s="53"/>
      <c r="O1" s="83"/>
      <c r="P1" s="85"/>
      <c r="Q1" s="293"/>
      <c r="R1" s="293"/>
      <c r="S1" s="293"/>
      <c r="T1" s="293"/>
      <c r="U1" s="293"/>
      <c r="V1" s="293"/>
      <c r="W1" s="293"/>
      <c r="X1" s="293"/>
    </row>
    <row r="2" spans="1:24" customFormat="1" ht="24.95" customHeight="1" thickTop="1" thickBot="1">
      <c r="A2" s="408"/>
      <c r="B2" s="1277" t="s">
        <v>730</v>
      </c>
      <c r="C2" s="1277"/>
      <c r="D2" s="1277"/>
      <c r="E2" s="1277"/>
      <c r="F2" s="1277"/>
      <c r="G2" s="1277"/>
      <c r="H2" s="1277"/>
      <c r="I2" s="1277"/>
      <c r="J2" s="1296"/>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7" t="str">
        <f>表紙!E2</f>
        <v>社会医療法人生長会　ベルランド総合病院</v>
      </c>
      <c r="H4" s="1298"/>
      <c r="I4" s="1298"/>
      <c r="J4" s="1298"/>
      <c r="K4" s="1299"/>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1681</v>
      </c>
      <c r="J5" s="414"/>
      <c r="K5" s="414"/>
      <c r="L5" s="409"/>
      <c r="M5" s="409"/>
      <c r="N5" s="164"/>
      <c r="O5" s="415"/>
      <c r="P5" s="821" t="s">
        <v>204</v>
      </c>
      <c r="Q5" s="822"/>
      <c r="R5" s="293"/>
      <c r="S5" s="293"/>
      <c r="T5" s="293"/>
      <c r="U5" s="293"/>
      <c r="V5" s="293"/>
      <c r="W5" s="293"/>
      <c r="X5" s="293"/>
    </row>
    <row r="6" spans="1:24" ht="162.75" customHeight="1">
      <c r="A6" s="1300" t="s">
        <v>1683</v>
      </c>
      <c r="B6" s="1300"/>
      <c r="C6" s="1300"/>
      <c r="D6" s="1300"/>
      <c r="E6" s="1300"/>
      <c r="F6" s="1300"/>
      <c r="G6" s="1300"/>
      <c r="H6" s="1300"/>
      <c r="I6" s="1300"/>
      <c r="J6" s="1300"/>
      <c r="K6" s="1300"/>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301" t="s">
        <v>738</v>
      </c>
      <c r="C11" s="1302"/>
      <c r="D11" s="1302"/>
      <c r="E11" s="1302"/>
      <c r="F11" s="1302"/>
      <c r="G11" s="1303"/>
      <c r="H11" s="1304" t="s">
        <v>1655</v>
      </c>
      <c r="I11" s="1304"/>
      <c r="J11" s="1304"/>
      <c r="P11" s="120"/>
      <c r="Q11" s="823"/>
    </row>
    <row r="12" spans="1:24">
      <c r="A12" s="420"/>
      <c r="B12" s="1283" t="s">
        <v>739</v>
      </c>
      <c r="C12" s="1284"/>
      <c r="D12" s="1284"/>
      <c r="E12" s="1284"/>
      <c r="F12" s="1285"/>
      <c r="G12" s="1286" t="s">
        <v>740</v>
      </c>
      <c r="H12" s="1289" t="s">
        <v>741</v>
      </c>
      <c r="I12" s="1290"/>
      <c r="J12" s="1289" t="s">
        <v>742</v>
      </c>
      <c r="K12" s="421" t="s">
        <v>743</v>
      </c>
      <c r="P12" s="120"/>
      <c r="Q12" s="823"/>
    </row>
    <row r="13" spans="1:24" ht="13.5" customHeight="1">
      <c r="A13" s="1293" t="s">
        <v>744</v>
      </c>
      <c r="B13" s="1286" t="s">
        <v>745</v>
      </c>
      <c r="C13" s="1283" t="s">
        <v>746</v>
      </c>
      <c r="D13" s="1284"/>
      <c r="E13" s="1285"/>
      <c r="F13" s="1286" t="s">
        <v>747</v>
      </c>
      <c r="G13" s="1287"/>
      <c r="H13" s="1292" t="s">
        <v>1644</v>
      </c>
      <c r="I13" s="1292" t="s">
        <v>1682</v>
      </c>
      <c r="J13" s="1288"/>
      <c r="K13" s="422"/>
      <c r="P13" s="120"/>
      <c r="Q13" s="823"/>
    </row>
    <row r="14" spans="1:24" ht="57.75" customHeight="1">
      <c r="A14" s="1294"/>
      <c r="B14" s="1288"/>
      <c r="C14" s="423" t="s">
        <v>748</v>
      </c>
      <c r="D14" s="423" t="s">
        <v>749</v>
      </c>
      <c r="E14" s="423" t="s">
        <v>750</v>
      </c>
      <c r="F14" s="1288"/>
      <c r="G14" s="1288"/>
      <c r="H14" s="1291"/>
      <c r="I14" s="1291"/>
      <c r="J14" s="1291"/>
      <c r="K14" s="424" t="s">
        <v>751</v>
      </c>
      <c r="P14" s="120"/>
      <c r="Q14" s="823"/>
    </row>
    <row r="15" spans="1:24">
      <c r="A15" s="425" t="s">
        <v>752</v>
      </c>
      <c r="B15" s="76" t="s">
        <v>829</v>
      </c>
      <c r="C15" s="76" t="s">
        <v>829</v>
      </c>
      <c r="D15" s="76" t="s">
        <v>829</v>
      </c>
      <c r="E15" s="76" t="s">
        <v>829</v>
      </c>
      <c r="F15" s="76" t="s">
        <v>829</v>
      </c>
      <c r="G15" s="76" t="s">
        <v>1794</v>
      </c>
      <c r="H15" s="1161" t="s">
        <v>753</v>
      </c>
      <c r="I15" s="1161"/>
      <c r="J15" s="825" t="s">
        <v>1796</v>
      </c>
      <c r="K15" s="826"/>
      <c r="M15" s="409" t="str">
        <f>IF(COUNTBLANK(B15:G15)=0,"○","×")</f>
        <v>○</v>
      </c>
      <c r="N15" s="409" t="str">
        <f>IF(AND(COUNTIF(B15:F15,"◎")&gt;=1,J15=""),"×","○")</f>
        <v>○</v>
      </c>
      <c r="P15" s="120"/>
      <c r="Q15" s="823"/>
    </row>
    <row r="16" spans="1:24">
      <c r="A16" s="425" t="s">
        <v>754</v>
      </c>
      <c r="B16" s="76" t="s">
        <v>829</v>
      </c>
      <c r="C16" s="426"/>
      <c r="D16" s="76" t="s">
        <v>829</v>
      </c>
      <c r="E16" s="76" t="s">
        <v>1792</v>
      </c>
      <c r="F16" s="76" t="s">
        <v>1792</v>
      </c>
      <c r="G16" s="76" t="s">
        <v>1794</v>
      </c>
      <c r="H16" s="1161"/>
      <c r="I16" s="1161"/>
      <c r="J16" s="825" t="s">
        <v>1796</v>
      </c>
      <c r="K16" s="826"/>
      <c r="M16" s="427" t="str">
        <f>IF(OR(B16="",D16="",E16="",F16="",G16=""),"×","○")</f>
        <v>○</v>
      </c>
      <c r="N16" s="409" t="str">
        <f>IF(AND(COUNTIF(B16:F16,"◎")&gt;=1,J16=""),"×","○")</f>
        <v>○</v>
      </c>
      <c r="P16" s="120"/>
      <c r="Q16" s="823"/>
    </row>
    <row r="17" spans="1:17">
      <c r="A17" s="425" t="s">
        <v>755</v>
      </c>
      <c r="B17" s="76" t="s">
        <v>829</v>
      </c>
      <c r="C17" s="76" t="s">
        <v>1792</v>
      </c>
      <c r="D17" s="76" t="s">
        <v>829</v>
      </c>
      <c r="E17" s="76" t="s">
        <v>1792</v>
      </c>
      <c r="F17" s="76" t="s">
        <v>1792</v>
      </c>
      <c r="G17" s="76" t="s">
        <v>1794</v>
      </c>
      <c r="H17" s="1161"/>
      <c r="I17" s="1161"/>
      <c r="J17" s="825" t="s">
        <v>1796</v>
      </c>
      <c r="K17" s="826"/>
      <c r="M17" s="409" t="str">
        <f t="shared" ref="M17:M80" si="0">IF(COUNTBLANK(B17:G17)=0,"○","×")</f>
        <v>○</v>
      </c>
      <c r="N17" s="409" t="str">
        <f t="shared" ref="N17:N80" si="1">IF(AND(COUNTIF(B17:F17,"◎")&gt;=1,J17=""),"×","○")</f>
        <v>○</v>
      </c>
      <c r="P17" s="120"/>
      <c r="Q17" s="823"/>
    </row>
    <row r="18" spans="1:17">
      <c r="A18" s="425" t="s">
        <v>756</v>
      </c>
      <c r="B18" s="76" t="s">
        <v>1792</v>
      </c>
      <c r="C18" s="76" t="s">
        <v>1792</v>
      </c>
      <c r="D18" s="76" t="s">
        <v>1792</v>
      </c>
      <c r="E18" s="76" t="s">
        <v>1792</v>
      </c>
      <c r="F18" s="76" t="s">
        <v>1792</v>
      </c>
      <c r="G18" s="76" t="s">
        <v>1794</v>
      </c>
      <c r="H18" s="1161"/>
      <c r="I18" s="1161"/>
      <c r="J18" s="825" t="s">
        <v>1797</v>
      </c>
      <c r="K18" s="826"/>
      <c r="M18" s="409" t="str">
        <f t="shared" si="0"/>
        <v>○</v>
      </c>
      <c r="N18" s="409" t="str">
        <f t="shared" si="1"/>
        <v>○</v>
      </c>
      <c r="P18" s="120"/>
      <c r="Q18" s="823"/>
    </row>
    <row r="19" spans="1:17" ht="27">
      <c r="A19" s="425" t="s">
        <v>757</v>
      </c>
      <c r="B19" s="76" t="s">
        <v>1793</v>
      </c>
      <c r="C19" s="76" t="s">
        <v>1793</v>
      </c>
      <c r="D19" s="76" t="s">
        <v>829</v>
      </c>
      <c r="E19" s="76" t="s">
        <v>1793</v>
      </c>
      <c r="F19" s="76" t="s">
        <v>829</v>
      </c>
      <c r="G19" s="76" t="s">
        <v>1794</v>
      </c>
      <c r="H19" s="1161"/>
      <c r="I19" s="1161"/>
      <c r="J19" s="825" t="s">
        <v>1798</v>
      </c>
      <c r="K19" s="826"/>
      <c r="M19" s="409" t="str">
        <f t="shared" si="0"/>
        <v>○</v>
      </c>
      <c r="N19" s="409" t="str">
        <f t="shared" si="1"/>
        <v>○</v>
      </c>
      <c r="P19" s="120"/>
      <c r="Q19" s="823"/>
    </row>
    <row r="20" spans="1:17" ht="27">
      <c r="A20" s="425" t="s">
        <v>758</v>
      </c>
      <c r="B20" s="76" t="s">
        <v>1793</v>
      </c>
      <c r="C20" s="76" t="s">
        <v>1793</v>
      </c>
      <c r="D20" s="76" t="s">
        <v>829</v>
      </c>
      <c r="E20" s="76" t="s">
        <v>1793</v>
      </c>
      <c r="F20" s="76" t="s">
        <v>829</v>
      </c>
      <c r="G20" s="76" t="s">
        <v>1794</v>
      </c>
      <c r="H20" s="1161"/>
      <c r="I20" s="1161"/>
      <c r="J20" s="825" t="s">
        <v>1798</v>
      </c>
      <c r="K20" s="826"/>
      <c r="M20" s="409" t="str">
        <f t="shared" si="0"/>
        <v>○</v>
      </c>
      <c r="N20" s="409" t="str">
        <f t="shared" si="1"/>
        <v>○</v>
      </c>
      <c r="P20" s="120"/>
      <c r="Q20" s="823"/>
    </row>
    <row r="21" spans="1:17" ht="27">
      <c r="A21" s="425" t="s">
        <v>759</v>
      </c>
      <c r="B21" s="76" t="s">
        <v>1793</v>
      </c>
      <c r="C21" s="76" t="s">
        <v>1793</v>
      </c>
      <c r="D21" s="76" t="s">
        <v>829</v>
      </c>
      <c r="E21" s="76" t="s">
        <v>1793</v>
      </c>
      <c r="F21" s="76" t="s">
        <v>829</v>
      </c>
      <c r="G21" s="76" t="s">
        <v>1794</v>
      </c>
      <c r="H21" s="1161" t="s">
        <v>760</v>
      </c>
      <c r="I21" s="1161"/>
      <c r="J21" s="825" t="s">
        <v>1798</v>
      </c>
      <c r="K21" s="826"/>
      <c r="M21" s="409" t="str">
        <f t="shared" si="0"/>
        <v>○</v>
      </c>
      <c r="N21" s="409" t="str">
        <f t="shared" si="1"/>
        <v>○</v>
      </c>
      <c r="P21" s="120"/>
      <c r="Q21" s="823"/>
    </row>
    <row r="22" spans="1:17" ht="27">
      <c r="A22" s="425" t="s">
        <v>761</v>
      </c>
      <c r="B22" s="76" t="s">
        <v>1793</v>
      </c>
      <c r="C22" s="76" t="s">
        <v>1793</v>
      </c>
      <c r="D22" s="76" t="s">
        <v>829</v>
      </c>
      <c r="E22" s="76" t="s">
        <v>1793</v>
      </c>
      <c r="F22" s="76" t="s">
        <v>829</v>
      </c>
      <c r="G22" s="76" t="s">
        <v>1794</v>
      </c>
      <c r="H22" s="1161"/>
      <c r="I22" s="1161"/>
      <c r="J22" s="825" t="s">
        <v>1798</v>
      </c>
      <c r="K22" s="826"/>
      <c r="M22" s="409" t="str">
        <f t="shared" si="0"/>
        <v>○</v>
      </c>
      <c r="N22" s="409" t="str">
        <f t="shared" si="1"/>
        <v>○</v>
      </c>
      <c r="P22" s="120"/>
      <c r="Q22" s="823"/>
    </row>
    <row r="23" spans="1:17" ht="27">
      <c r="A23" s="425" t="s">
        <v>762</v>
      </c>
      <c r="B23" s="76" t="s">
        <v>1793</v>
      </c>
      <c r="C23" s="76" t="s">
        <v>1793</v>
      </c>
      <c r="D23" s="76" t="s">
        <v>829</v>
      </c>
      <c r="E23" s="76" t="s">
        <v>1793</v>
      </c>
      <c r="F23" s="76" t="s">
        <v>829</v>
      </c>
      <c r="G23" s="76" t="s">
        <v>1795</v>
      </c>
      <c r="H23" s="1161"/>
      <c r="I23" s="1161"/>
      <c r="J23" s="825" t="s">
        <v>1798</v>
      </c>
      <c r="K23" s="826"/>
      <c r="M23" s="409" t="str">
        <f t="shared" si="0"/>
        <v>○</v>
      </c>
      <c r="N23" s="409" t="str">
        <f t="shared" si="1"/>
        <v>○</v>
      </c>
      <c r="P23" s="120"/>
      <c r="Q23" s="823"/>
    </row>
    <row r="24" spans="1:17" ht="27">
      <c r="A24" s="425" t="s">
        <v>763</v>
      </c>
      <c r="B24" s="76" t="s">
        <v>1793</v>
      </c>
      <c r="C24" s="76" t="s">
        <v>1793</v>
      </c>
      <c r="D24" s="76" t="s">
        <v>829</v>
      </c>
      <c r="E24" s="76" t="s">
        <v>1793</v>
      </c>
      <c r="F24" s="76" t="s">
        <v>829</v>
      </c>
      <c r="G24" s="76" t="s">
        <v>1794</v>
      </c>
      <c r="H24" s="1161"/>
      <c r="I24" s="1161"/>
      <c r="J24" s="825" t="s">
        <v>1798</v>
      </c>
      <c r="K24" s="826"/>
      <c r="M24" s="409" t="str">
        <f t="shared" si="0"/>
        <v>○</v>
      </c>
      <c r="N24" s="409" t="str">
        <f t="shared" si="1"/>
        <v>○</v>
      </c>
      <c r="P24" s="120"/>
      <c r="Q24" s="823"/>
    </row>
    <row r="25" spans="1:17" ht="27">
      <c r="A25" s="425" t="s">
        <v>764</v>
      </c>
      <c r="B25" s="76" t="s">
        <v>1792</v>
      </c>
      <c r="C25" s="76" t="s">
        <v>1792</v>
      </c>
      <c r="D25" s="76" t="s">
        <v>1792</v>
      </c>
      <c r="E25" s="76" t="s">
        <v>1792</v>
      </c>
      <c r="F25" s="76" t="s">
        <v>1792</v>
      </c>
      <c r="G25" s="76" t="s">
        <v>1794</v>
      </c>
      <c r="H25" s="1161"/>
      <c r="I25" s="1161"/>
      <c r="J25" s="825" t="s">
        <v>1798</v>
      </c>
      <c r="K25" s="826"/>
      <c r="M25" s="409" t="str">
        <f t="shared" si="0"/>
        <v>○</v>
      </c>
      <c r="N25" s="409" t="str">
        <f t="shared" si="1"/>
        <v>○</v>
      </c>
      <c r="P25" s="120"/>
      <c r="Q25" s="823"/>
    </row>
    <row r="26" spans="1:17" ht="27">
      <c r="A26" s="425" t="s">
        <v>765</v>
      </c>
      <c r="B26" s="76" t="s">
        <v>1793</v>
      </c>
      <c r="C26" s="76" t="s">
        <v>1793</v>
      </c>
      <c r="D26" s="76" t="s">
        <v>1792</v>
      </c>
      <c r="E26" s="76" t="s">
        <v>1793</v>
      </c>
      <c r="F26" s="76" t="s">
        <v>829</v>
      </c>
      <c r="G26" s="76" t="s">
        <v>1794</v>
      </c>
      <c r="H26" s="1161"/>
      <c r="I26" s="1161"/>
      <c r="J26" s="825" t="s">
        <v>1798</v>
      </c>
      <c r="K26" s="826"/>
      <c r="M26" s="409" t="str">
        <f t="shared" si="0"/>
        <v>○</v>
      </c>
      <c r="N26" s="409" t="str">
        <f t="shared" si="1"/>
        <v>○</v>
      </c>
      <c r="P26" s="120"/>
      <c r="Q26" s="823"/>
    </row>
    <row r="27" spans="1:17">
      <c r="A27" s="425" t="s">
        <v>766</v>
      </c>
      <c r="B27" s="76" t="s">
        <v>1793</v>
      </c>
      <c r="C27" s="76" t="s">
        <v>1793</v>
      </c>
      <c r="D27" s="76" t="s">
        <v>829</v>
      </c>
      <c r="E27" s="76" t="s">
        <v>1793</v>
      </c>
      <c r="F27" s="76" t="s">
        <v>829</v>
      </c>
      <c r="G27" s="76" t="s">
        <v>1794</v>
      </c>
      <c r="H27" s="1161"/>
      <c r="I27" s="1161"/>
      <c r="J27" s="825" t="s">
        <v>1901</v>
      </c>
      <c r="K27" s="826"/>
      <c r="M27" s="409" t="str">
        <f t="shared" si="0"/>
        <v>○</v>
      </c>
      <c r="N27" s="409" t="str">
        <f t="shared" si="1"/>
        <v>○</v>
      </c>
      <c r="P27" s="120"/>
      <c r="Q27" s="823"/>
    </row>
    <row r="28" spans="1:17" ht="27">
      <c r="A28" s="425" t="s">
        <v>767</v>
      </c>
      <c r="B28" s="76" t="s">
        <v>1793</v>
      </c>
      <c r="C28" s="76" t="s">
        <v>1793</v>
      </c>
      <c r="D28" s="76" t="s">
        <v>829</v>
      </c>
      <c r="E28" s="76" t="s">
        <v>829</v>
      </c>
      <c r="F28" s="76" t="s">
        <v>829</v>
      </c>
      <c r="G28" s="76" t="s">
        <v>1794</v>
      </c>
      <c r="H28" s="1161"/>
      <c r="I28" s="1161"/>
      <c r="J28" s="825" t="s">
        <v>1799</v>
      </c>
      <c r="K28" s="826"/>
      <c r="M28" s="409" t="str">
        <f t="shared" si="0"/>
        <v>○</v>
      </c>
      <c r="N28" s="409" t="str">
        <f t="shared" si="1"/>
        <v>○</v>
      </c>
      <c r="P28" s="120"/>
      <c r="Q28" s="823"/>
    </row>
    <row r="29" spans="1:17" ht="27">
      <c r="A29" s="425" t="s">
        <v>768</v>
      </c>
      <c r="B29" s="76" t="s">
        <v>1793</v>
      </c>
      <c r="C29" s="76" t="s">
        <v>1793</v>
      </c>
      <c r="D29" s="76" t="s">
        <v>829</v>
      </c>
      <c r="E29" s="76" t="s">
        <v>1793</v>
      </c>
      <c r="F29" s="76" t="s">
        <v>829</v>
      </c>
      <c r="G29" s="76" t="s">
        <v>1794</v>
      </c>
      <c r="H29" s="1161"/>
      <c r="I29" s="1161"/>
      <c r="J29" s="825" t="s">
        <v>1799</v>
      </c>
      <c r="K29" s="826"/>
      <c r="M29" s="409" t="str">
        <f t="shared" si="0"/>
        <v>○</v>
      </c>
      <c r="N29" s="409" t="str">
        <f t="shared" si="1"/>
        <v>○</v>
      </c>
      <c r="P29" s="120"/>
      <c r="Q29" s="823"/>
    </row>
    <row r="30" spans="1:17" ht="27">
      <c r="A30" s="425" t="s">
        <v>769</v>
      </c>
      <c r="B30" s="76" t="s">
        <v>1793</v>
      </c>
      <c r="C30" s="76" t="s">
        <v>1793</v>
      </c>
      <c r="D30" s="76" t="s">
        <v>829</v>
      </c>
      <c r="E30" s="76" t="s">
        <v>1793</v>
      </c>
      <c r="F30" s="76" t="s">
        <v>829</v>
      </c>
      <c r="G30" s="76" t="s">
        <v>1794</v>
      </c>
      <c r="H30" s="1161"/>
      <c r="I30" s="1161"/>
      <c r="J30" s="825" t="s">
        <v>1799</v>
      </c>
      <c r="K30" s="826"/>
      <c r="M30" s="409" t="str">
        <f t="shared" si="0"/>
        <v>○</v>
      </c>
      <c r="N30" s="409" t="str">
        <f t="shared" si="1"/>
        <v>○</v>
      </c>
      <c r="P30" s="120"/>
      <c r="Q30" s="823"/>
    </row>
    <row r="31" spans="1:17" ht="27">
      <c r="A31" s="425" t="s">
        <v>770</v>
      </c>
      <c r="B31" s="76" t="s">
        <v>1793</v>
      </c>
      <c r="C31" s="76" t="s">
        <v>1793</v>
      </c>
      <c r="D31" s="76" t="s">
        <v>829</v>
      </c>
      <c r="E31" s="76" t="s">
        <v>829</v>
      </c>
      <c r="F31" s="76" t="s">
        <v>829</v>
      </c>
      <c r="G31" s="76" t="s">
        <v>1794</v>
      </c>
      <c r="H31" s="1161"/>
      <c r="I31" s="1161"/>
      <c r="J31" s="825" t="s">
        <v>1799</v>
      </c>
      <c r="K31" s="826"/>
      <c r="M31" s="409" t="str">
        <f>IF(COUNTBLANK(B31:G31)=0,"○","×")</f>
        <v>○</v>
      </c>
      <c r="N31" s="409" t="str">
        <f t="shared" ref="N31" si="2">IF(AND(COUNTIF(B31:F31,"◎")&gt;=1,J31=""),"×","○")</f>
        <v>○</v>
      </c>
      <c r="P31" s="120"/>
      <c r="Q31" s="823"/>
    </row>
    <row r="32" spans="1:17" ht="27">
      <c r="A32" s="425" t="s">
        <v>771</v>
      </c>
      <c r="B32" s="76" t="s">
        <v>1793</v>
      </c>
      <c r="C32" s="76" t="s">
        <v>1793</v>
      </c>
      <c r="D32" s="76" t="s">
        <v>829</v>
      </c>
      <c r="E32" s="76" t="s">
        <v>829</v>
      </c>
      <c r="F32" s="76" t="s">
        <v>829</v>
      </c>
      <c r="G32" s="76" t="s">
        <v>1794</v>
      </c>
      <c r="H32" s="1161"/>
      <c r="I32" s="1161"/>
      <c r="J32" s="825" t="s">
        <v>1799</v>
      </c>
      <c r="K32" s="826"/>
      <c r="M32" s="409" t="str">
        <f t="shared" si="0"/>
        <v>○</v>
      </c>
      <c r="N32" s="409" t="str">
        <f t="shared" si="1"/>
        <v>○</v>
      </c>
      <c r="P32" s="120"/>
      <c r="Q32" s="823"/>
    </row>
    <row r="33" spans="1:17" ht="27">
      <c r="A33" s="425" t="s">
        <v>772</v>
      </c>
      <c r="B33" s="76" t="s">
        <v>1793</v>
      </c>
      <c r="C33" s="76" t="s">
        <v>1793</v>
      </c>
      <c r="D33" s="426"/>
      <c r="E33" s="76" t="s">
        <v>829</v>
      </c>
      <c r="F33" s="76" t="s">
        <v>829</v>
      </c>
      <c r="G33" s="76" t="s">
        <v>1794</v>
      </c>
      <c r="H33" s="1161"/>
      <c r="I33" s="1161"/>
      <c r="J33" s="825" t="s">
        <v>1799</v>
      </c>
      <c r="K33" s="826"/>
      <c r="M33" s="427" t="str">
        <f>IF(OR(B33="",C33="",E33="",F33="",G33=""),"×","○")</f>
        <v>○</v>
      </c>
      <c r="N33" s="409" t="str">
        <f t="shared" si="1"/>
        <v>○</v>
      </c>
      <c r="P33" s="120"/>
      <c r="Q33" s="823"/>
    </row>
    <row r="34" spans="1:17" ht="27">
      <c r="A34" s="425" t="s">
        <v>773</v>
      </c>
      <c r="B34" s="76" t="s">
        <v>1793</v>
      </c>
      <c r="C34" s="76" t="s">
        <v>1793</v>
      </c>
      <c r="D34" s="76" t="s">
        <v>829</v>
      </c>
      <c r="E34" s="76" t="s">
        <v>829</v>
      </c>
      <c r="F34" s="76" t="s">
        <v>829</v>
      </c>
      <c r="G34" s="76" t="s">
        <v>1794</v>
      </c>
      <c r="H34" s="1161"/>
      <c r="I34" s="1161"/>
      <c r="J34" s="825" t="s">
        <v>1799</v>
      </c>
      <c r="K34" s="826"/>
      <c r="M34" s="409" t="str">
        <f t="shared" si="0"/>
        <v>○</v>
      </c>
      <c r="N34" s="409" t="str">
        <f t="shared" si="1"/>
        <v>○</v>
      </c>
      <c r="P34" s="120"/>
      <c r="Q34" s="823"/>
    </row>
    <row r="35" spans="1:17" ht="27">
      <c r="A35" s="425" t="s">
        <v>774</v>
      </c>
      <c r="B35" s="76" t="s">
        <v>1793</v>
      </c>
      <c r="C35" s="76" t="s">
        <v>1793</v>
      </c>
      <c r="D35" s="76" t="s">
        <v>829</v>
      </c>
      <c r="E35" s="76" t="s">
        <v>1793</v>
      </c>
      <c r="F35" s="76" t="s">
        <v>829</v>
      </c>
      <c r="G35" s="76" t="s">
        <v>1794</v>
      </c>
      <c r="H35" s="1161"/>
      <c r="I35" s="1161"/>
      <c r="J35" s="825" t="s">
        <v>1799</v>
      </c>
      <c r="K35" s="826"/>
      <c r="M35" s="409" t="str">
        <f t="shared" si="0"/>
        <v>○</v>
      </c>
      <c r="N35" s="409" t="str">
        <f t="shared" si="1"/>
        <v>○</v>
      </c>
      <c r="P35" s="120"/>
      <c r="Q35" s="823"/>
    </row>
    <row r="36" spans="1:17">
      <c r="A36" s="425" t="s">
        <v>775</v>
      </c>
      <c r="B36" s="76" t="s">
        <v>829</v>
      </c>
      <c r="C36" s="76" t="s">
        <v>829</v>
      </c>
      <c r="D36" s="76" t="s">
        <v>829</v>
      </c>
      <c r="E36" s="76" t="s">
        <v>829</v>
      </c>
      <c r="F36" s="76" t="s">
        <v>829</v>
      </c>
      <c r="G36" s="76" t="s">
        <v>1794</v>
      </c>
      <c r="H36" s="1161"/>
      <c r="I36" s="1161"/>
      <c r="J36" s="825" t="s">
        <v>1800</v>
      </c>
      <c r="K36" s="826"/>
      <c r="M36" s="409" t="str">
        <f t="shared" si="0"/>
        <v>○</v>
      </c>
      <c r="N36" s="409" t="str">
        <f t="shared" si="1"/>
        <v>○</v>
      </c>
      <c r="P36" s="120"/>
      <c r="Q36" s="823"/>
    </row>
    <row r="37" spans="1:17">
      <c r="A37" s="425" t="s">
        <v>776</v>
      </c>
      <c r="B37" s="76" t="s">
        <v>1793</v>
      </c>
      <c r="C37" s="76" t="s">
        <v>1793</v>
      </c>
      <c r="D37" s="76" t="s">
        <v>829</v>
      </c>
      <c r="E37" s="76" t="s">
        <v>1793</v>
      </c>
      <c r="F37" s="76" t="s">
        <v>829</v>
      </c>
      <c r="G37" s="76" t="s">
        <v>1794</v>
      </c>
      <c r="H37" s="1161"/>
      <c r="I37" s="1161"/>
      <c r="J37" s="825" t="s">
        <v>1800</v>
      </c>
      <c r="K37" s="826"/>
      <c r="M37" s="409" t="str">
        <f t="shared" si="0"/>
        <v>○</v>
      </c>
      <c r="N37" s="409" t="str">
        <f t="shared" si="1"/>
        <v>○</v>
      </c>
      <c r="P37" s="120"/>
      <c r="Q37" s="823"/>
    </row>
    <row r="38" spans="1:17">
      <c r="A38" s="425" t="s">
        <v>777</v>
      </c>
      <c r="B38" s="76" t="s">
        <v>1793</v>
      </c>
      <c r="C38" s="76" t="s">
        <v>1793</v>
      </c>
      <c r="D38" s="76" t="s">
        <v>829</v>
      </c>
      <c r="E38" s="76" t="s">
        <v>1793</v>
      </c>
      <c r="F38" s="76" t="s">
        <v>829</v>
      </c>
      <c r="G38" s="76" t="s">
        <v>1794</v>
      </c>
      <c r="H38" s="1161"/>
      <c r="I38" s="1161"/>
      <c r="J38" s="825" t="s">
        <v>1800</v>
      </c>
      <c r="K38" s="826"/>
      <c r="M38" s="409" t="str">
        <f t="shared" si="0"/>
        <v>○</v>
      </c>
      <c r="N38" s="409" t="str">
        <f t="shared" si="1"/>
        <v>○</v>
      </c>
      <c r="P38" s="120"/>
      <c r="Q38" s="823"/>
    </row>
    <row r="39" spans="1:17">
      <c r="A39" s="425" t="s">
        <v>778</v>
      </c>
      <c r="B39" s="76" t="s">
        <v>1793</v>
      </c>
      <c r="C39" s="76" t="s">
        <v>1793</v>
      </c>
      <c r="D39" s="76" t="s">
        <v>1792</v>
      </c>
      <c r="E39" s="76" t="s">
        <v>1793</v>
      </c>
      <c r="F39" s="76" t="s">
        <v>829</v>
      </c>
      <c r="G39" s="76" t="s">
        <v>1794</v>
      </c>
      <c r="H39" s="1161"/>
      <c r="I39" s="1161"/>
      <c r="J39" s="825" t="s">
        <v>1800</v>
      </c>
      <c r="K39" s="826"/>
      <c r="M39" s="409" t="str">
        <f t="shared" si="0"/>
        <v>○</v>
      </c>
      <c r="N39" s="409" t="str">
        <f t="shared" si="1"/>
        <v>○</v>
      </c>
      <c r="P39" s="120"/>
      <c r="Q39" s="823"/>
    </row>
    <row r="40" spans="1:17">
      <c r="A40" s="425" t="s">
        <v>779</v>
      </c>
      <c r="B40" s="76" t="s">
        <v>1793</v>
      </c>
      <c r="C40" s="76" t="s">
        <v>1793</v>
      </c>
      <c r="D40" s="76" t="s">
        <v>829</v>
      </c>
      <c r="E40" s="76" t="s">
        <v>1793</v>
      </c>
      <c r="F40" s="76" t="s">
        <v>829</v>
      </c>
      <c r="G40" s="76" t="s">
        <v>1794</v>
      </c>
      <c r="H40" s="1161"/>
      <c r="I40" s="1161"/>
      <c r="J40" s="825" t="s">
        <v>1800</v>
      </c>
      <c r="K40" s="826"/>
      <c r="M40" s="409" t="str">
        <f t="shared" si="0"/>
        <v>○</v>
      </c>
      <c r="N40" s="409" t="str">
        <f t="shared" si="1"/>
        <v>○</v>
      </c>
      <c r="P40" s="120"/>
      <c r="Q40" s="823"/>
    </row>
    <row r="41" spans="1:17">
      <c r="A41" s="425" t="s">
        <v>780</v>
      </c>
      <c r="B41" s="76" t="s">
        <v>1793</v>
      </c>
      <c r="C41" s="76" t="s">
        <v>1793</v>
      </c>
      <c r="D41" s="76" t="s">
        <v>829</v>
      </c>
      <c r="E41" s="76" t="s">
        <v>1793</v>
      </c>
      <c r="F41" s="76" t="s">
        <v>829</v>
      </c>
      <c r="G41" s="76" t="s">
        <v>1794</v>
      </c>
      <c r="H41" s="1161"/>
      <c r="I41" s="1161"/>
      <c r="J41" s="825" t="s">
        <v>1800</v>
      </c>
      <c r="K41" s="826"/>
      <c r="M41" s="409" t="str">
        <f>IF(COUNTBLANK(B41:G41)=0,"○","×")</f>
        <v>○</v>
      </c>
      <c r="N41" s="409" t="str">
        <f t="shared" si="1"/>
        <v>○</v>
      </c>
      <c r="P41" s="120"/>
      <c r="Q41" s="823"/>
    </row>
    <row r="42" spans="1:17">
      <c r="A42" s="425" t="s">
        <v>781</v>
      </c>
      <c r="B42" s="76" t="s">
        <v>1793</v>
      </c>
      <c r="C42" s="76" t="s">
        <v>1793</v>
      </c>
      <c r="D42" s="426"/>
      <c r="E42" s="76" t="s">
        <v>1793</v>
      </c>
      <c r="F42" s="76" t="s">
        <v>829</v>
      </c>
      <c r="G42" s="76" t="s">
        <v>1794</v>
      </c>
      <c r="H42" s="1161"/>
      <c r="I42" s="1161"/>
      <c r="J42" s="825" t="s">
        <v>1800</v>
      </c>
      <c r="K42" s="826"/>
      <c r="M42" s="427" t="str">
        <f>IF(OR(B42="",C42="",E42="",F42="",G42=""),"×","○")</f>
        <v>○</v>
      </c>
      <c r="N42" s="409" t="str">
        <f t="shared" si="1"/>
        <v>○</v>
      </c>
      <c r="P42" s="120"/>
      <c r="Q42" s="823"/>
    </row>
    <row r="43" spans="1:17">
      <c r="A43" s="425" t="s">
        <v>782</v>
      </c>
      <c r="B43" s="76" t="s">
        <v>1793</v>
      </c>
      <c r="C43" s="76" t="s">
        <v>1793</v>
      </c>
      <c r="D43" s="76" t="s">
        <v>829</v>
      </c>
      <c r="E43" s="76" t="s">
        <v>1793</v>
      </c>
      <c r="F43" s="76" t="s">
        <v>829</v>
      </c>
      <c r="G43" s="76" t="s">
        <v>1794</v>
      </c>
      <c r="H43" s="1161" t="s">
        <v>783</v>
      </c>
      <c r="I43" s="1161"/>
      <c r="J43" s="825" t="s">
        <v>1800</v>
      </c>
      <c r="K43" s="826"/>
      <c r="M43" s="409" t="str">
        <f t="shared" si="0"/>
        <v>○</v>
      </c>
      <c r="N43" s="409" t="str">
        <f t="shared" si="1"/>
        <v>○</v>
      </c>
      <c r="P43" s="120"/>
      <c r="Q43" s="823"/>
    </row>
    <row r="44" spans="1:17">
      <c r="A44" s="425" t="s">
        <v>784</v>
      </c>
      <c r="B44" s="76" t="s">
        <v>1793</v>
      </c>
      <c r="C44" s="76" t="s">
        <v>1793</v>
      </c>
      <c r="D44" s="76" t="s">
        <v>1792</v>
      </c>
      <c r="E44" s="76" t="s">
        <v>1793</v>
      </c>
      <c r="F44" s="76" t="s">
        <v>829</v>
      </c>
      <c r="G44" s="76" t="s">
        <v>1794</v>
      </c>
      <c r="H44" s="1161"/>
      <c r="I44" s="1161"/>
      <c r="J44" s="825" t="s">
        <v>1800</v>
      </c>
      <c r="K44" s="826"/>
      <c r="M44" s="409" t="str">
        <f t="shared" si="0"/>
        <v>○</v>
      </c>
      <c r="N44" s="409" t="str">
        <f t="shared" si="1"/>
        <v>○</v>
      </c>
      <c r="P44" s="120"/>
      <c r="Q44" s="823"/>
    </row>
    <row r="45" spans="1:17">
      <c r="A45" s="425" t="s">
        <v>785</v>
      </c>
      <c r="B45" s="76" t="s">
        <v>1793</v>
      </c>
      <c r="C45" s="76" t="s">
        <v>1793</v>
      </c>
      <c r="D45" s="76" t="s">
        <v>829</v>
      </c>
      <c r="E45" s="76" t="s">
        <v>1793</v>
      </c>
      <c r="F45" s="76" t="s">
        <v>829</v>
      </c>
      <c r="G45" s="76" t="s">
        <v>1794</v>
      </c>
      <c r="H45" s="1161" t="s">
        <v>786</v>
      </c>
      <c r="I45" s="1161"/>
      <c r="J45" s="825" t="s">
        <v>1800</v>
      </c>
      <c r="K45" s="826"/>
      <c r="M45" s="409" t="str">
        <f t="shared" si="0"/>
        <v>○</v>
      </c>
      <c r="N45" s="409" t="str">
        <f t="shared" si="1"/>
        <v>○</v>
      </c>
      <c r="P45" s="120"/>
      <c r="Q45" s="823"/>
    </row>
    <row r="46" spans="1:17">
      <c r="A46" s="425" t="s">
        <v>787</v>
      </c>
      <c r="B46" s="76" t="s">
        <v>1793</v>
      </c>
      <c r="C46" s="76" t="s">
        <v>1793</v>
      </c>
      <c r="D46" s="76" t="s">
        <v>829</v>
      </c>
      <c r="E46" s="76" t="s">
        <v>1793</v>
      </c>
      <c r="F46" s="76" t="s">
        <v>829</v>
      </c>
      <c r="G46" s="76" t="s">
        <v>1794</v>
      </c>
      <c r="H46" s="1161"/>
      <c r="I46" s="1161"/>
      <c r="J46" s="825" t="s">
        <v>1800</v>
      </c>
      <c r="K46" s="826"/>
      <c r="M46" s="409" t="str">
        <f t="shared" si="0"/>
        <v>○</v>
      </c>
      <c r="N46" s="409" t="str">
        <f t="shared" si="1"/>
        <v>○</v>
      </c>
      <c r="P46" s="120"/>
      <c r="Q46" s="823"/>
    </row>
    <row r="47" spans="1:17">
      <c r="A47" s="425" t="s">
        <v>788</v>
      </c>
      <c r="B47" s="76" t="s">
        <v>1793</v>
      </c>
      <c r="C47" s="76" t="s">
        <v>1793</v>
      </c>
      <c r="D47" s="76" t="s">
        <v>829</v>
      </c>
      <c r="E47" s="76" t="s">
        <v>1793</v>
      </c>
      <c r="F47" s="76" t="s">
        <v>829</v>
      </c>
      <c r="G47" s="76" t="s">
        <v>1794</v>
      </c>
      <c r="H47" s="1161" t="s">
        <v>783</v>
      </c>
      <c r="I47" s="1161"/>
      <c r="J47" s="825" t="s">
        <v>1800</v>
      </c>
      <c r="K47" s="826"/>
      <c r="M47" s="409" t="str">
        <f t="shared" si="0"/>
        <v>○</v>
      </c>
      <c r="N47" s="409" t="str">
        <f t="shared" si="1"/>
        <v>○</v>
      </c>
      <c r="P47" s="120"/>
      <c r="Q47" s="823"/>
    </row>
    <row r="48" spans="1:17">
      <c r="A48" s="425" t="s">
        <v>789</v>
      </c>
      <c r="B48" s="76" t="s">
        <v>829</v>
      </c>
      <c r="C48" s="76" t="s">
        <v>829</v>
      </c>
      <c r="D48" s="426"/>
      <c r="E48" s="76" t="s">
        <v>829</v>
      </c>
      <c r="F48" s="76" t="s">
        <v>829</v>
      </c>
      <c r="G48" s="76" t="s">
        <v>1794</v>
      </c>
      <c r="H48" s="1162"/>
      <c r="I48" s="1162"/>
      <c r="J48" s="825" t="s">
        <v>1800</v>
      </c>
      <c r="K48" s="826"/>
      <c r="M48" s="427" t="str">
        <f>IF(OR(B48="",C48="",E48="",F48="",G48=""),"×","○")</f>
        <v>○</v>
      </c>
      <c r="N48" s="409" t="str">
        <f t="shared" si="1"/>
        <v>○</v>
      </c>
      <c r="P48" s="120"/>
      <c r="Q48" s="823"/>
    </row>
    <row r="49" spans="1:17">
      <c r="A49" s="425" t="s">
        <v>790</v>
      </c>
      <c r="B49" s="76" t="s">
        <v>1792</v>
      </c>
      <c r="C49" s="76" t="s">
        <v>1792</v>
      </c>
      <c r="D49" s="76" t="s">
        <v>1792</v>
      </c>
      <c r="E49" s="76" t="s">
        <v>1792</v>
      </c>
      <c r="F49" s="76" t="s">
        <v>1792</v>
      </c>
      <c r="G49" s="76" t="s">
        <v>1794</v>
      </c>
      <c r="H49" s="1162"/>
      <c r="I49" s="1162"/>
      <c r="J49" s="825" t="s">
        <v>1801</v>
      </c>
      <c r="K49" s="826"/>
      <c r="M49" s="409" t="str">
        <f t="shared" si="0"/>
        <v>○</v>
      </c>
      <c r="N49" s="409" t="str">
        <f t="shared" si="1"/>
        <v>○</v>
      </c>
      <c r="P49" s="120"/>
      <c r="Q49" s="823"/>
    </row>
    <row r="50" spans="1:17">
      <c r="A50" s="425" t="s">
        <v>791</v>
      </c>
      <c r="B50" s="76" t="s">
        <v>1792</v>
      </c>
      <c r="C50" s="76" t="s">
        <v>1792</v>
      </c>
      <c r="D50" s="76" t="s">
        <v>1792</v>
      </c>
      <c r="E50" s="76" t="s">
        <v>1792</v>
      </c>
      <c r="F50" s="76" t="s">
        <v>1792</v>
      </c>
      <c r="G50" s="76" t="s">
        <v>1794</v>
      </c>
      <c r="H50" s="1161"/>
      <c r="I50" s="1161"/>
      <c r="J50" s="825" t="s">
        <v>1902</v>
      </c>
      <c r="K50" s="826"/>
      <c r="M50" s="409" t="str">
        <f t="shared" si="0"/>
        <v>○</v>
      </c>
      <c r="N50" s="409" t="str">
        <f t="shared" si="1"/>
        <v>○</v>
      </c>
      <c r="P50" s="120"/>
      <c r="Q50" s="823"/>
    </row>
    <row r="51" spans="1:17">
      <c r="A51" s="425" t="s">
        <v>792</v>
      </c>
      <c r="B51" s="76" t="s">
        <v>1793</v>
      </c>
      <c r="C51" s="76" t="s">
        <v>1793</v>
      </c>
      <c r="D51" s="426"/>
      <c r="E51" s="76" t="s">
        <v>1793</v>
      </c>
      <c r="F51" s="76" t="s">
        <v>829</v>
      </c>
      <c r="G51" s="76" t="s">
        <v>1794</v>
      </c>
      <c r="H51" s="1161"/>
      <c r="I51" s="1161"/>
      <c r="J51" s="825" t="s">
        <v>1802</v>
      </c>
      <c r="K51" s="826"/>
      <c r="M51" s="427" t="str">
        <f>IF(OR(B51="",C51="",E51="",F51="",G51=""),"×","○")</f>
        <v>○</v>
      </c>
      <c r="N51" s="409" t="str">
        <f t="shared" si="1"/>
        <v>○</v>
      </c>
      <c r="P51" s="120"/>
      <c r="Q51" s="823"/>
    </row>
    <row r="52" spans="1:17">
      <c r="A52" s="425" t="s">
        <v>793</v>
      </c>
      <c r="B52" s="76" t="s">
        <v>1793</v>
      </c>
      <c r="C52" s="76" t="s">
        <v>1793</v>
      </c>
      <c r="D52" s="76" t="s">
        <v>829</v>
      </c>
      <c r="E52" s="76" t="s">
        <v>1793</v>
      </c>
      <c r="F52" s="76" t="s">
        <v>829</v>
      </c>
      <c r="G52" s="76" t="s">
        <v>1794</v>
      </c>
      <c r="H52" s="1161"/>
      <c r="I52" s="1161"/>
      <c r="J52" s="825" t="s">
        <v>1802</v>
      </c>
      <c r="K52" s="826"/>
      <c r="M52" s="409" t="str">
        <f>IF(COUNTBLANK(B52:G52)=0,"○","×")</f>
        <v>○</v>
      </c>
      <c r="N52" s="409" t="str">
        <f t="shared" si="1"/>
        <v>○</v>
      </c>
      <c r="P52" s="120"/>
      <c r="Q52" s="823"/>
    </row>
    <row r="53" spans="1:17">
      <c r="A53" s="425" t="s">
        <v>794</v>
      </c>
      <c r="B53" s="76" t="s">
        <v>1793</v>
      </c>
      <c r="C53" s="76" t="s">
        <v>1793</v>
      </c>
      <c r="D53" s="76" t="s">
        <v>1792</v>
      </c>
      <c r="E53" s="76" t="s">
        <v>1793</v>
      </c>
      <c r="F53" s="76" t="s">
        <v>829</v>
      </c>
      <c r="G53" s="76" t="s">
        <v>1794</v>
      </c>
      <c r="H53" s="1161"/>
      <c r="I53" s="1161"/>
      <c r="J53" s="825" t="s">
        <v>1802</v>
      </c>
      <c r="K53" s="826"/>
      <c r="M53" s="409" t="str">
        <f t="shared" si="0"/>
        <v>○</v>
      </c>
      <c r="N53" s="409" t="str">
        <f t="shared" si="1"/>
        <v>○</v>
      </c>
      <c r="P53" s="120"/>
      <c r="Q53" s="823"/>
    </row>
    <row r="54" spans="1:17">
      <c r="A54" s="425" t="s">
        <v>795</v>
      </c>
      <c r="B54" s="76" t="s">
        <v>1793</v>
      </c>
      <c r="C54" s="76" t="s">
        <v>1793</v>
      </c>
      <c r="D54" s="76" t="s">
        <v>829</v>
      </c>
      <c r="E54" s="76" t="s">
        <v>1793</v>
      </c>
      <c r="F54" s="76" t="s">
        <v>829</v>
      </c>
      <c r="G54" s="76" t="s">
        <v>1794</v>
      </c>
      <c r="H54" s="1161" t="s">
        <v>796</v>
      </c>
      <c r="I54" s="1161"/>
      <c r="J54" s="825" t="s">
        <v>1802</v>
      </c>
      <c r="K54" s="826"/>
      <c r="M54" s="409" t="str">
        <f t="shared" si="0"/>
        <v>○</v>
      </c>
      <c r="N54" s="409" t="str">
        <f t="shared" si="1"/>
        <v>○</v>
      </c>
      <c r="P54" s="120"/>
      <c r="Q54" s="823"/>
    </row>
    <row r="55" spans="1:17">
      <c r="A55" s="425" t="s">
        <v>797</v>
      </c>
      <c r="B55" s="76" t="s">
        <v>829</v>
      </c>
      <c r="C55" s="76" t="s">
        <v>829</v>
      </c>
      <c r="D55" s="76" t="s">
        <v>829</v>
      </c>
      <c r="E55" s="76" t="s">
        <v>829</v>
      </c>
      <c r="F55" s="76" t="s">
        <v>829</v>
      </c>
      <c r="G55" s="76" t="s">
        <v>1794</v>
      </c>
      <c r="H55" s="1161"/>
      <c r="I55" s="1161"/>
      <c r="J55" s="825" t="s">
        <v>1802</v>
      </c>
      <c r="K55" s="826"/>
      <c r="M55" s="409" t="str">
        <f t="shared" si="0"/>
        <v>○</v>
      </c>
      <c r="N55" s="409" t="str">
        <f t="shared" si="1"/>
        <v>○</v>
      </c>
      <c r="P55" s="120"/>
      <c r="Q55" s="823"/>
    </row>
    <row r="56" spans="1:17">
      <c r="A56" s="425" t="s">
        <v>798</v>
      </c>
      <c r="B56" s="76" t="s">
        <v>1793</v>
      </c>
      <c r="C56" s="76" t="s">
        <v>1793</v>
      </c>
      <c r="D56" s="76" t="s">
        <v>829</v>
      </c>
      <c r="E56" s="76" t="s">
        <v>1793</v>
      </c>
      <c r="F56" s="76" t="s">
        <v>829</v>
      </c>
      <c r="G56" s="76" t="s">
        <v>1794</v>
      </c>
      <c r="H56" s="1161"/>
      <c r="I56" s="1161"/>
      <c r="J56" s="825" t="s">
        <v>1802</v>
      </c>
      <c r="K56" s="826"/>
      <c r="M56" s="409" t="str">
        <f t="shared" si="0"/>
        <v>○</v>
      </c>
      <c r="N56" s="409" t="str">
        <f t="shared" si="1"/>
        <v>○</v>
      </c>
      <c r="P56" s="120"/>
      <c r="Q56" s="823"/>
    </row>
    <row r="57" spans="1:17">
      <c r="A57" s="425" t="s">
        <v>799</v>
      </c>
      <c r="B57" s="76" t="s">
        <v>1793</v>
      </c>
      <c r="C57" s="76" t="s">
        <v>1793</v>
      </c>
      <c r="D57" s="76" t="s">
        <v>829</v>
      </c>
      <c r="E57" s="76" t="s">
        <v>1793</v>
      </c>
      <c r="F57" s="76" t="s">
        <v>829</v>
      </c>
      <c r="G57" s="76" t="s">
        <v>1794</v>
      </c>
      <c r="H57" s="1161"/>
      <c r="I57" s="1161"/>
      <c r="J57" s="825" t="s">
        <v>1803</v>
      </c>
      <c r="K57" s="826"/>
      <c r="M57" s="409" t="str">
        <f t="shared" si="0"/>
        <v>○</v>
      </c>
      <c r="N57" s="409" t="str">
        <f t="shared" si="1"/>
        <v>○</v>
      </c>
      <c r="P57" s="120"/>
      <c r="Q57" s="823"/>
    </row>
    <row r="58" spans="1:17">
      <c r="A58" s="425" t="s">
        <v>800</v>
      </c>
      <c r="B58" s="76" t="s">
        <v>1793</v>
      </c>
      <c r="C58" s="76" t="s">
        <v>1793</v>
      </c>
      <c r="D58" s="76" t="s">
        <v>829</v>
      </c>
      <c r="E58" s="76" t="s">
        <v>1793</v>
      </c>
      <c r="F58" s="76" t="s">
        <v>829</v>
      </c>
      <c r="G58" s="76" t="s">
        <v>1794</v>
      </c>
      <c r="H58" s="1161"/>
      <c r="I58" s="1161"/>
      <c r="J58" s="825" t="s">
        <v>1803</v>
      </c>
      <c r="K58" s="826"/>
      <c r="M58" s="409" t="str">
        <f t="shared" si="0"/>
        <v>○</v>
      </c>
      <c r="N58" s="409" t="str">
        <f t="shared" si="1"/>
        <v>○</v>
      </c>
      <c r="P58" s="120"/>
      <c r="Q58" s="823"/>
    </row>
    <row r="59" spans="1:17">
      <c r="A59" s="425" t="s">
        <v>801</v>
      </c>
      <c r="B59" s="76" t="s">
        <v>1793</v>
      </c>
      <c r="C59" s="76" t="s">
        <v>1793</v>
      </c>
      <c r="D59" s="76" t="s">
        <v>1792</v>
      </c>
      <c r="E59" s="76" t="s">
        <v>1793</v>
      </c>
      <c r="F59" s="76" t="s">
        <v>829</v>
      </c>
      <c r="G59" s="76" t="s">
        <v>1794</v>
      </c>
      <c r="H59" s="1161"/>
      <c r="I59" s="1161"/>
      <c r="J59" s="825" t="s">
        <v>1803</v>
      </c>
      <c r="K59" s="826"/>
      <c r="M59" s="409" t="str">
        <f t="shared" si="0"/>
        <v>○</v>
      </c>
      <c r="N59" s="409" t="str">
        <f t="shared" si="1"/>
        <v>○</v>
      </c>
      <c r="P59" s="120"/>
      <c r="Q59" s="823"/>
    </row>
    <row r="60" spans="1:17">
      <c r="A60" s="425" t="s">
        <v>802</v>
      </c>
      <c r="B60" s="76" t="s">
        <v>1793</v>
      </c>
      <c r="C60" s="76" t="s">
        <v>1793</v>
      </c>
      <c r="D60" s="426"/>
      <c r="E60" s="76" t="s">
        <v>1793</v>
      </c>
      <c r="F60" s="76" t="s">
        <v>829</v>
      </c>
      <c r="G60" s="76" t="s">
        <v>1794</v>
      </c>
      <c r="H60" s="1161"/>
      <c r="I60" s="1161"/>
      <c r="J60" s="825" t="s">
        <v>1803</v>
      </c>
      <c r="K60" s="826"/>
      <c r="M60" s="427" t="str">
        <f>IF(OR(B60="",C60="",E60="",F60="",G60=""),"×","○")</f>
        <v>○</v>
      </c>
      <c r="N60" s="409" t="str">
        <f t="shared" si="1"/>
        <v>○</v>
      </c>
      <c r="P60" s="120"/>
      <c r="Q60" s="823"/>
    </row>
    <row r="61" spans="1:17">
      <c r="A61" s="428" t="s">
        <v>803</v>
      </c>
      <c r="B61" s="76" t="s">
        <v>1793</v>
      </c>
      <c r="C61" s="76" t="s">
        <v>1793</v>
      </c>
      <c r="D61" s="426"/>
      <c r="E61" s="76" t="s">
        <v>1793</v>
      </c>
      <c r="F61" s="76" t="s">
        <v>829</v>
      </c>
      <c r="G61" s="76" t="s">
        <v>1794</v>
      </c>
      <c r="H61" s="1161"/>
      <c r="I61" s="1161"/>
      <c r="J61" s="825" t="s">
        <v>1803</v>
      </c>
      <c r="K61" s="826"/>
      <c r="L61" s="429"/>
      <c r="M61" s="427" t="str">
        <f>IF(OR(B61="",C61="",E61="",F61="",G61=""),"×","○")</f>
        <v>○</v>
      </c>
      <c r="N61" s="409" t="str">
        <f t="shared" si="1"/>
        <v>○</v>
      </c>
      <c r="P61" s="120"/>
      <c r="Q61" s="823"/>
    </row>
    <row r="62" spans="1:17">
      <c r="A62" s="425" t="s">
        <v>804</v>
      </c>
      <c r="B62" s="76" t="s">
        <v>829</v>
      </c>
      <c r="C62" s="76" t="s">
        <v>829</v>
      </c>
      <c r="D62" s="76" t="s">
        <v>829</v>
      </c>
      <c r="E62" s="76" t="s">
        <v>829</v>
      </c>
      <c r="F62" s="76" t="s">
        <v>829</v>
      </c>
      <c r="G62" s="76" t="s">
        <v>1794</v>
      </c>
      <c r="H62" s="1161"/>
      <c r="I62" s="1161"/>
      <c r="J62" s="825" t="s">
        <v>1803</v>
      </c>
      <c r="K62" s="826"/>
      <c r="L62" s="429"/>
      <c r="M62" s="409" t="str">
        <f t="shared" si="0"/>
        <v>○</v>
      </c>
      <c r="N62" s="409" t="str">
        <f t="shared" si="1"/>
        <v>○</v>
      </c>
      <c r="P62" s="120"/>
      <c r="Q62" s="823"/>
    </row>
    <row r="63" spans="1:17">
      <c r="A63" s="425" t="s">
        <v>805</v>
      </c>
      <c r="B63" s="76" t="s">
        <v>829</v>
      </c>
      <c r="C63" s="76" t="s">
        <v>829</v>
      </c>
      <c r="D63" s="76" t="s">
        <v>829</v>
      </c>
      <c r="E63" s="76" t="s">
        <v>829</v>
      </c>
      <c r="F63" s="76" t="s">
        <v>829</v>
      </c>
      <c r="G63" s="76" t="s">
        <v>1794</v>
      </c>
      <c r="H63" s="1161"/>
      <c r="I63" s="1161"/>
      <c r="J63" s="825" t="s">
        <v>1801</v>
      </c>
      <c r="K63" s="826"/>
      <c r="L63" s="429"/>
      <c r="M63" s="409" t="str">
        <f t="shared" si="0"/>
        <v>○</v>
      </c>
      <c r="N63" s="409" t="str">
        <f t="shared" si="1"/>
        <v>○</v>
      </c>
      <c r="P63" s="120"/>
      <c r="Q63" s="823"/>
    </row>
    <row r="64" spans="1:17">
      <c r="A64" s="425" t="s">
        <v>806</v>
      </c>
      <c r="B64" s="76" t="s">
        <v>829</v>
      </c>
      <c r="C64" s="76" t="s">
        <v>829</v>
      </c>
      <c r="D64" s="76" t="s">
        <v>829</v>
      </c>
      <c r="E64" s="76" t="s">
        <v>829</v>
      </c>
      <c r="F64" s="76" t="s">
        <v>829</v>
      </c>
      <c r="G64" s="76" t="s">
        <v>1794</v>
      </c>
      <c r="H64" s="1161"/>
      <c r="I64" s="1161"/>
      <c r="J64" s="825" t="s">
        <v>1801</v>
      </c>
      <c r="K64" s="826"/>
      <c r="L64" s="429"/>
      <c r="M64" s="409" t="str">
        <f t="shared" si="0"/>
        <v>○</v>
      </c>
      <c r="N64" s="409" t="str">
        <f t="shared" si="1"/>
        <v>○</v>
      </c>
      <c r="P64" s="120"/>
      <c r="Q64" s="823"/>
    </row>
    <row r="65" spans="1:17">
      <c r="A65" s="425" t="s">
        <v>807</v>
      </c>
      <c r="B65" s="76" t="s">
        <v>829</v>
      </c>
      <c r="C65" s="76" t="s">
        <v>829</v>
      </c>
      <c r="D65" s="76" t="s">
        <v>829</v>
      </c>
      <c r="E65" s="76" t="s">
        <v>829</v>
      </c>
      <c r="F65" s="76" t="s">
        <v>829</v>
      </c>
      <c r="G65" s="76" t="s">
        <v>1794</v>
      </c>
      <c r="H65" s="1161"/>
      <c r="I65" s="1161"/>
      <c r="J65" s="825" t="s">
        <v>1801</v>
      </c>
      <c r="K65" s="826"/>
      <c r="L65" s="429"/>
      <c r="M65" s="409" t="str">
        <f>IF(COUNTBLANK(B65:G65)=0,"○","×")</f>
        <v>○</v>
      </c>
      <c r="N65" s="409" t="str">
        <f t="shared" ref="N65" si="3">IF(AND(COUNTIF(B65:F65,"◎")&gt;=1,J65=""),"×","○")</f>
        <v>○</v>
      </c>
      <c r="P65" s="120"/>
      <c r="Q65" s="823"/>
    </row>
    <row r="66" spans="1:17">
      <c r="A66" s="425" t="s">
        <v>808</v>
      </c>
      <c r="B66" s="76" t="s">
        <v>829</v>
      </c>
      <c r="C66" s="76" t="s">
        <v>829</v>
      </c>
      <c r="D66" s="76" t="s">
        <v>829</v>
      </c>
      <c r="E66" s="76" t="s">
        <v>829</v>
      </c>
      <c r="F66" s="76" t="s">
        <v>829</v>
      </c>
      <c r="G66" s="76" t="s">
        <v>1794</v>
      </c>
      <c r="H66" s="1161"/>
      <c r="I66" s="1161"/>
      <c r="J66" s="825" t="s">
        <v>1804</v>
      </c>
      <c r="K66" s="826"/>
      <c r="L66" s="429"/>
      <c r="M66" s="409" t="str">
        <f t="shared" si="0"/>
        <v>○</v>
      </c>
      <c r="N66" s="409" t="str">
        <f t="shared" si="1"/>
        <v>○</v>
      </c>
      <c r="P66" s="120"/>
      <c r="Q66" s="823"/>
    </row>
    <row r="67" spans="1:17">
      <c r="A67" s="425" t="s">
        <v>809</v>
      </c>
      <c r="B67" s="76" t="s">
        <v>829</v>
      </c>
      <c r="C67" s="76" t="s">
        <v>829</v>
      </c>
      <c r="D67" s="76" t="s">
        <v>829</v>
      </c>
      <c r="E67" s="76" t="s">
        <v>829</v>
      </c>
      <c r="F67" s="76" t="s">
        <v>829</v>
      </c>
      <c r="G67" s="76" t="s">
        <v>1794</v>
      </c>
      <c r="H67" s="1161"/>
      <c r="I67" s="1161"/>
      <c r="J67" s="825" t="s">
        <v>1804</v>
      </c>
      <c r="K67" s="826"/>
      <c r="L67" s="429"/>
      <c r="M67" s="409" t="str">
        <f t="shared" si="0"/>
        <v>○</v>
      </c>
      <c r="N67" s="409" t="str">
        <f t="shared" si="1"/>
        <v>○</v>
      </c>
      <c r="P67" s="120"/>
      <c r="Q67" s="823"/>
    </row>
    <row r="68" spans="1:17">
      <c r="A68" s="425" t="s">
        <v>810</v>
      </c>
      <c r="B68" s="76" t="s">
        <v>829</v>
      </c>
      <c r="C68" s="426"/>
      <c r="D68" s="76" t="s">
        <v>829</v>
      </c>
      <c r="E68" s="76" t="s">
        <v>1792</v>
      </c>
      <c r="F68" s="76" t="s">
        <v>829</v>
      </c>
      <c r="G68" s="76" t="s">
        <v>1794</v>
      </c>
      <c r="H68" s="1161"/>
      <c r="I68" s="1161"/>
      <c r="J68" s="826"/>
      <c r="K68" s="826"/>
      <c r="L68" s="429"/>
      <c r="M68" s="427" t="str">
        <f>IF(OR(B68="",D68="",E68="",F68="",G68=""),"×","○")</f>
        <v>○</v>
      </c>
      <c r="N68" s="409" t="str">
        <f t="shared" si="1"/>
        <v>○</v>
      </c>
      <c r="P68" s="120"/>
      <c r="Q68" s="823"/>
    </row>
    <row r="69" spans="1:17">
      <c r="A69" s="425" t="s">
        <v>811</v>
      </c>
      <c r="B69" s="76" t="s">
        <v>829</v>
      </c>
      <c r="C69" s="426"/>
      <c r="D69" s="76" t="s">
        <v>1792</v>
      </c>
      <c r="E69" s="76" t="s">
        <v>1792</v>
      </c>
      <c r="F69" s="76" t="s">
        <v>829</v>
      </c>
      <c r="G69" s="76" t="s">
        <v>1794</v>
      </c>
      <c r="H69" s="1161"/>
      <c r="I69" s="1161"/>
      <c r="J69" s="825" t="s">
        <v>1805</v>
      </c>
      <c r="K69" s="826"/>
      <c r="L69" s="429"/>
      <c r="M69" s="427" t="str">
        <f>IF(OR(B69="",D69="",E69="",F69="",G69=""),"×","○")</f>
        <v>○</v>
      </c>
      <c r="N69" s="409" t="str">
        <f t="shared" si="1"/>
        <v>○</v>
      </c>
      <c r="P69" s="120"/>
      <c r="Q69" s="823"/>
    </row>
    <row r="70" spans="1:17">
      <c r="A70" s="425" t="s">
        <v>812</v>
      </c>
      <c r="B70" s="76" t="s">
        <v>829</v>
      </c>
      <c r="C70" s="426"/>
      <c r="D70" s="76" t="s">
        <v>1792</v>
      </c>
      <c r="E70" s="76" t="s">
        <v>1792</v>
      </c>
      <c r="F70" s="76" t="s">
        <v>829</v>
      </c>
      <c r="G70" s="76" t="s">
        <v>1794</v>
      </c>
      <c r="H70" s="1161"/>
      <c r="I70" s="1161"/>
      <c r="J70" s="825" t="s">
        <v>1805</v>
      </c>
      <c r="K70" s="826"/>
      <c r="L70" s="429"/>
      <c r="M70" s="427" t="str">
        <f>IF(OR(B70="",D70="",E70="",F70="",G70=""),"×","○")</f>
        <v>○</v>
      </c>
      <c r="N70" s="409" t="str">
        <f t="shared" si="1"/>
        <v>○</v>
      </c>
      <c r="P70" s="120"/>
      <c r="Q70" s="823"/>
    </row>
    <row r="71" spans="1:17">
      <c r="A71" s="425" t="s">
        <v>813</v>
      </c>
      <c r="B71" s="76" t="s">
        <v>829</v>
      </c>
      <c r="C71" s="426"/>
      <c r="D71" s="76" t="s">
        <v>829</v>
      </c>
      <c r="E71" s="76" t="s">
        <v>1792</v>
      </c>
      <c r="F71" s="76" t="s">
        <v>829</v>
      </c>
      <c r="G71" s="76" t="s">
        <v>1794</v>
      </c>
      <c r="H71" s="1161"/>
      <c r="I71" s="1161"/>
      <c r="J71" s="825" t="s">
        <v>1805</v>
      </c>
      <c r="K71" s="826"/>
      <c r="L71" s="429"/>
      <c r="M71" s="427" t="str">
        <f>IF(OR(B71="",D71="",E71="",F71="",G71=""),"×","○")</f>
        <v>○</v>
      </c>
      <c r="N71" s="409" t="str">
        <f t="shared" si="1"/>
        <v>○</v>
      </c>
      <c r="P71" s="120"/>
      <c r="Q71" s="823"/>
    </row>
    <row r="72" spans="1:17">
      <c r="A72" s="425" t="s">
        <v>814</v>
      </c>
      <c r="B72" s="76" t="s">
        <v>829</v>
      </c>
      <c r="C72" s="76" t="s">
        <v>829</v>
      </c>
      <c r="D72" s="76" t="s">
        <v>829</v>
      </c>
      <c r="E72" s="76" t="s">
        <v>829</v>
      </c>
      <c r="F72" s="76" t="s">
        <v>829</v>
      </c>
      <c r="G72" s="76" t="s">
        <v>1794</v>
      </c>
      <c r="H72" s="1162"/>
      <c r="I72" s="1162"/>
      <c r="J72" s="825"/>
      <c r="K72" s="826"/>
      <c r="L72" s="430"/>
      <c r="M72" s="409" t="str">
        <f t="shared" si="0"/>
        <v>○</v>
      </c>
      <c r="N72" s="409" t="str">
        <f t="shared" si="1"/>
        <v>○</v>
      </c>
      <c r="P72" s="120"/>
      <c r="Q72" s="823"/>
    </row>
    <row r="73" spans="1:17">
      <c r="A73" s="420"/>
      <c r="B73" s="1283" t="s">
        <v>815</v>
      </c>
      <c r="C73" s="1284"/>
      <c r="D73" s="1284"/>
      <c r="E73" s="1284"/>
      <c r="F73" s="1285"/>
      <c r="G73" s="1286" t="s">
        <v>816</v>
      </c>
      <c r="H73" s="1289" t="s">
        <v>741</v>
      </c>
      <c r="I73" s="1290"/>
      <c r="J73" s="1289" t="s">
        <v>742</v>
      </c>
      <c r="K73" s="421" t="s">
        <v>743</v>
      </c>
      <c r="P73" s="120"/>
      <c r="Q73" s="823"/>
    </row>
    <row r="74" spans="1:17" ht="13.5" customHeight="1">
      <c r="A74" s="1292" t="s">
        <v>817</v>
      </c>
      <c r="B74" s="1286" t="s">
        <v>745</v>
      </c>
      <c r="C74" s="1283" t="s">
        <v>746</v>
      </c>
      <c r="D74" s="1284"/>
      <c r="E74" s="1285"/>
      <c r="F74" s="1286" t="s">
        <v>747</v>
      </c>
      <c r="G74" s="1287"/>
      <c r="H74" s="1292" t="s">
        <v>1644</v>
      </c>
      <c r="I74" s="1292" t="s">
        <v>1682</v>
      </c>
      <c r="J74" s="1288"/>
      <c r="K74" s="422"/>
      <c r="P74" s="120"/>
      <c r="Q74" s="823"/>
    </row>
    <row r="75" spans="1:17" ht="57.75" customHeight="1">
      <c r="A75" s="1291"/>
      <c r="B75" s="1288"/>
      <c r="C75" s="423" t="s">
        <v>748</v>
      </c>
      <c r="D75" s="423" t="s">
        <v>749</v>
      </c>
      <c r="E75" s="423" t="s">
        <v>750</v>
      </c>
      <c r="F75" s="1288"/>
      <c r="G75" s="1288"/>
      <c r="H75" s="1291"/>
      <c r="I75" s="1291"/>
      <c r="J75" s="1291"/>
      <c r="K75" s="424" t="s">
        <v>751</v>
      </c>
      <c r="P75" s="120"/>
      <c r="Q75" s="823"/>
    </row>
    <row r="76" spans="1:17">
      <c r="A76" s="431" t="s">
        <v>818</v>
      </c>
      <c r="B76" s="76" t="s">
        <v>1792</v>
      </c>
      <c r="C76" s="76" t="s">
        <v>1792</v>
      </c>
      <c r="D76" s="76" t="s">
        <v>1792</v>
      </c>
      <c r="E76" s="76" t="s">
        <v>1792</v>
      </c>
      <c r="F76" s="76" t="s">
        <v>1792</v>
      </c>
      <c r="G76" s="76" t="s">
        <v>1794</v>
      </c>
      <c r="H76" s="426"/>
      <c r="I76" s="426"/>
      <c r="J76" s="825"/>
      <c r="K76" s="826"/>
      <c r="L76" s="429"/>
      <c r="M76" s="409" t="str">
        <f t="shared" si="0"/>
        <v>○</v>
      </c>
      <c r="N76" s="409" t="str">
        <f t="shared" si="1"/>
        <v>○</v>
      </c>
      <c r="P76" s="120"/>
      <c r="Q76" s="823"/>
    </row>
    <row r="77" spans="1:17">
      <c r="A77" s="431" t="s">
        <v>819</v>
      </c>
      <c r="B77" s="76" t="s">
        <v>1792</v>
      </c>
      <c r="C77" s="76" t="s">
        <v>1792</v>
      </c>
      <c r="D77" s="76" t="s">
        <v>1792</v>
      </c>
      <c r="E77" s="76" t="s">
        <v>1792</v>
      </c>
      <c r="F77" s="76" t="s">
        <v>1792</v>
      </c>
      <c r="G77" s="76" t="s">
        <v>1794</v>
      </c>
      <c r="H77" s="426"/>
      <c r="I77" s="426"/>
      <c r="J77" s="825"/>
      <c r="K77" s="826"/>
      <c r="L77" s="429"/>
      <c r="M77" s="409" t="str">
        <f t="shared" si="0"/>
        <v>○</v>
      </c>
      <c r="N77" s="409" t="str">
        <f t="shared" si="1"/>
        <v>○</v>
      </c>
      <c r="P77" s="120"/>
      <c r="Q77" s="823"/>
    </row>
    <row r="78" spans="1:17">
      <c r="A78" s="431" t="s">
        <v>820</v>
      </c>
      <c r="B78" s="76" t="s">
        <v>1792</v>
      </c>
      <c r="C78" s="76" t="s">
        <v>1792</v>
      </c>
      <c r="D78" s="76" t="s">
        <v>1792</v>
      </c>
      <c r="E78" s="76" t="s">
        <v>1792</v>
      </c>
      <c r="F78" s="76" t="s">
        <v>1792</v>
      </c>
      <c r="G78" s="76" t="s">
        <v>1794</v>
      </c>
      <c r="H78" s="426"/>
      <c r="I78" s="426"/>
      <c r="J78" s="825"/>
      <c r="K78" s="826"/>
      <c r="L78" s="429"/>
      <c r="M78" s="409" t="str">
        <f t="shared" si="0"/>
        <v>○</v>
      </c>
      <c r="N78" s="409" t="str">
        <f t="shared" si="1"/>
        <v>○</v>
      </c>
      <c r="P78" s="120"/>
      <c r="Q78" s="823"/>
    </row>
    <row r="79" spans="1:17">
      <c r="A79" s="431" t="s">
        <v>821</v>
      </c>
      <c r="B79" s="76" t="s">
        <v>1792</v>
      </c>
      <c r="C79" s="426"/>
      <c r="D79" s="76" t="s">
        <v>1792</v>
      </c>
      <c r="E79" s="76" t="s">
        <v>1792</v>
      </c>
      <c r="F79" s="76" t="s">
        <v>1792</v>
      </c>
      <c r="G79" s="76" t="s">
        <v>1794</v>
      </c>
      <c r="H79" s="426"/>
      <c r="I79" s="426"/>
      <c r="J79" s="825"/>
      <c r="K79" s="826"/>
      <c r="M79" s="427" t="str">
        <f>IF(OR(B79="",D79="",E79="",F79="",G79=""),"×","○")</f>
        <v>○</v>
      </c>
      <c r="N79" s="409" t="str">
        <f t="shared" si="1"/>
        <v>○</v>
      </c>
      <c r="P79" s="120"/>
      <c r="Q79" s="823"/>
    </row>
    <row r="80" spans="1:17">
      <c r="A80" s="431" t="s">
        <v>822</v>
      </c>
      <c r="B80" s="76" t="s">
        <v>1792</v>
      </c>
      <c r="C80" s="76" t="s">
        <v>1792</v>
      </c>
      <c r="D80" s="76" t="s">
        <v>1792</v>
      </c>
      <c r="E80" s="76" t="s">
        <v>1792</v>
      </c>
      <c r="F80" s="76" t="s">
        <v>1792</v>
      </c>
      <c r="G80" s="76" t="s">
        <v>1794</v>
      </c>
      <c r="H80" s="426"/>
      <c r="I80" s="426"/>
      <c r="J80" s="825"/>
      <c r="K80" s="826"/>
      <c r="M80" s="409" t="str">
        <f t="shared" si="0"/>
        <v>○</v>
      </c>
      <c r="N80" s="409" t="str">
        <f t="shared" si="1"/>
        <v>○</v>
      </c>
      <c r="P80" s="121"/>
      <c r="Q80" s="82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Q18" sqref="Q18"/>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05" t="s">
        <v>1598</v>
      </c>
      <c r="B1" s="1305"/>
      <c r="C1" s="1305"/>
      <c r="D1" s="1305"/>
      <c r="E1" s="1305"/>
      <c r="F1" s="1305"/>
      <c r="G1" s="1305"/>
      <c r="H1" s="1305"/>
      <c r="I1" s="1305"/>
      <c r="J1" s="1305"/>
      <c r="K1" s="1305"/>
      <c r="P1" s="83"/>
      <c r="Q1" s="85"/>
    </row>
    <row r="2" spans="1:17" ht="24.95" customHeight="1" thickTop="1" thickBot="1">
      <c r="A2" s="408"/>
      <c r="B2" s="1277" t="s">
        <v>730</v>
      </c>
      <c r="C2" s="1277"/>
      <c r="D2" s="1277"/>
      <c r="E2" s="1277"/>
      <c r="F2" s="1277"/>
      <c r="G2" s="1277"/>
      <c r="H2" s="1277"/>
      <c r="I2" s="1277"/>
      <c r="J2" s="1296"/>
      <c r="K2" s="388" t="str">
        <f>IF(COUNTIF(N12:O16,"×")=0,"入力済","未入力あり")</f>
        <v>入力済</v>
      </c>
      <c r="L2" s="1306"/>
      <c r="M2" s="432"/>
      <c r="N2" s="432"/>
      <c r="O2" s="432"/>
      <c r="P2" s="83"/>
      <c r="Q2" s="85"/>
    </row>
    <row r="3" spans="1:17" ht="5.0999999999999996" customHeight="1" thickTop="1">
      <c r="A3" s="410"/>
      <c r="B3" s="410"/>
      <c r="C3" s="410"/>
      <c r="D3" s="410"/>
      <c r="E3" s="410"/>
      <c r="F3" s="410"/>
      <c r="G3" s="410"/>
      <c r="H3" s="410"/>
      <c r="I3" s="410"/>
      <c r="J3" s="410"/>
      <c r="K3" s="410"/>
      <c r="L3" s="1306"/>
      <c r="M3" s="432"/>
      <c r="N3" s="432"/>
      <c r="O3" s="432"/>
    </row>
    <row r="4" spans="1:17" ht="20.100000000000001" customHeight="1">
      <c r="A4" s="410"/>
      <c r="B4" s="410"/>
      <c r="C4" s="410"/>
      <c r="D4" s="410"/>
      <c r="E4" s="410"/>
      <c r="F4" s="413" t="s">
        <v>731</v>
      </c>
      <c r="G4" s="1297" t="str">
        <f>表紙!E2</f>
        <v>社会医療法人生長会　ベルランド総合病院</v>
      </c>
      <c r="H4" s="1298"/>
      <c r="I4" s="1298"/>
      <c r="J4" s="1298"/>
      <c r="K4" s="1299"/>
      <c r="L4" s="1306"/>
      <c r="M4" s="432"/>
      <c r="N4" s="432"/>
      <c r="O4" s="432"/>
      <c r="P4" s="83"/>
    </row>
    <row r="5" spans="1:17" ht="19.5" customHeight="1">
      <c r="A5" s="410"/>
      <c r="B5" s="413"/>
      <c r="C5" s="413"/>
      <c r="D5" s="413"/>
      <c r="E5" s="1094"/>
      <c r="F5" s="1094" t="s">
        <v>1599</v>
      </c>
      <c r="G5" s="1095" t="str">
        <f>別紙1未充足要件!E5</f>
        <v>令和７年９月１日時点</v>
      </c>
      <c r="J5" s="414"/>
      <c r="K5" s="414"/>
      <c r="L5" s="1306"/>
      <c r="M5" s="432"/>
      <c r="N5" s="432"/>
      <c r="O5" s="432"/>
      <c r="P5" s="415"/>
      <c r="Q5" s="139" t="s">
        <v>204</v>
      </c>
    </row>
    <row r="6" spans="1:17" s="436" customFormat="1" ht="28.9" customHeight="1">
      <c r="A6" s="433"/>
      <c r="B6" s="434"/>
      <c r="C6" s="434"/>
      <c r="D6" s="434"/>
      <c r="E6" s="434"/>
      <c r="F6" s="434"/>
      <c r="G6" s="434"/>
      <c r="H6" s="434"/>
      <c r="I6" s="434"/>
      <c r="J6" s="434"/>
      <c r="K6" s="434"/>
      <c r="L6" s="1306"/>
      <c r="M6" s="432"/>
      <c r="N6" s="432"/>
      <c r="O6" s="432"/>
      <c r="P6" s="435"/>
      <c r="Q6" s="116"/>
    </row>
    <row r="7" spans="1:17" s="8" customFormat="1" ht="20.100000000000001" customHeight="1">
      <c r="A7" s="1089" t="s">
        <v>1596</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07" t="s">
        <v>1403</v>
      </c>
      <c r="B9" s="1315" t="s">
        <v>823</v>
      </c>
      <c r="C9" s="1316"/>
      <c r="D9" s="1316"/>
      <c r="E9" s="1317" t="s">
        <v>824</v>
      </c>
      <c r="F9" s="1318"/>
      <c r="G9" s="1318"/>
      <c r="H9" s="1318"/>
      <c r="I9" s="1318"/>
      <c r="J9" s="1318"/>
      <c r="K9" s="1318"/>
      <c r="L9" s="1319"/>
      <c r="M9" s="441"/>
      <c r="N9" s="442"/>
      <c r="O9" s="442"/>
      <c r="P9" s="51"/>
      <c r="Q9" s="116"/>
    </row>
    <row r="10" spans="1:17" s="8" customFormat="1" ht="22.5" customHeight="1">
      <c r="A10" s="1308"/>
      <c r="B10" s="1092" t="s">
        <v>825</v>
      </c>
      <c r="C10" s="1092" t="s">
        <v>826</v>
      </c>
      <c r="D10" s="1092" t="s">
        <v>827</v>
      </c>
      <c r="E10" s="1320"/>
      <c r="F10" s="1321"/>
      <c r="G10" s="1321"/>
      <c r="H10" s="1321"/>
      <c r="I10" s="1321"/>
      <c r="J10" s="1321"/>
      <c r="K10" s="1321"/>
      <c r="L10" s="1322"/>
      <c r="M10" s="441"/>
      <c r="N10" s="442"/>
      <c r="O10" s="442"/>
      <c r="P10" s="51"/>
      <c r="Q10" s="74"/>
    </row>
    <row r="11" spans="1:17" s="8" customFormat="1" ht="42" customHeight="1" thickBot="1">
      <c r="A11" s="1093" t="s">
        <v>1597</v>
      </c>
      <c r="B11" s="444" t="s">
        <v>828</v>
      </c>
      <c r="C11" s="444" t="s">
        <v>829</v>
      </c>
      <c r="D11" s="444" t="s">
        <v>828</v>
      </c>
      <c r="E11" s="1323" t="s">
        <v>1669</v>
      </c>
      <c r="F11" s="1323"/>
      <c r="G11" s="1323"/>
      <c r="H11" s="1323"/>
      <c r="I11" s="1323"/>
      <c r="J11" s="1323"/>
      <c r="K11" s="1323"/>
      <c r="L11" s="1323"/>
      <c r="M11" s="445"/>
      <c r="N11" s="446"/>
      <c r="O11" s="446"/>
      <c r="P11" s="51"/>
      <c r="Q11" s="74"/>
    </row>
    <row r="12" spans="1:17" s="8" customFormat="1" ht="42" customHeight="1" thickTop="1" thickBot="1">
      <c r="A12" s="447" t="s">
        <v>1347</v>
      </c>
      <c r="B12" s="64" t="s">
        <v>829</v>
      </c>
      <c r="C12" s="64" t="s">
        <v>829</v>
      </c>
      <c r="D12" s="64" t="s">
        <v>829</v>
      </c>
      <c r="E12" s="1312"/>
      <c r="F12" s="1313"/>
      <c r="G12" s="1313"/>
      <c r="H12" s="1313"/>
      <c r="I12" s="1313"/>
      <c r="J12" s="1313"/>
      <c r="K12" s="1313"/>
      <c r="L12" s="1314"/>
      <c r="M12" s="445"/>
      <c r="N12" s="448" t="str">
        <f>IF(COUNTBLANK(B12:D12)=0,"○","×")</f>
        <v>○</v>
      </c>
      <c r="O12" s="448" t="str">
        <f>IF(AND(COUNTIF(B12:D12,"×")&gt;=1,E12=""),"×","○")</f>
        <v>○</v>
      </c>
      <c r="P12" s="51"/>
      <c r="Q12" s="74"/>
    </row>
    <row r="13" spans="1:17" s="8" customFormat="1" ht="42" customHeight="1" thickBot="1">
      <c r="A13" s="449" t="s">
        <v>1349</v>
      </c>
      <c r="B13" s="55" t="s">
        <v>829</v>
      </c>
      <c r="C13" s="55" t="s">
        <v>829</v>
      </c>
      <c r="D13" s="55" t="s">
        <v>829</v>
      </c>
      <c r="E13" s="1309"/>
      <c r="F13" s="1310"/>
      <c r="G13" s="1310"/>
      <c r="H13" s="1310"/>
      <c r="I13" s="1310"/>
      <c r="J13" s="1310"/>
      <c r="K13" s="1310"/>
      <c r="L13" s="1311"/>
      <c r="M13" s="445"/>
      <c r="N13" s="448" t="str">
        <f t="shared" ref="N13:N18" si="0">IF(COUNTBLANK(B13:D13)=0,"○","×")</f>
        <v>○</v>
      </c>
      <c r="O13" s="448" t="str">
        <f t="shared" ref="O13:O19" si="1">IF(AND(COUNTIF(B13:D13,"×")&gt;=1,E13=""),"×","○")</f>
        <v>○</v>
      </c>
      <c r="P13" s="51"/>
      <c r="Q13" s="74"/>
    </row>
    <row r="14" spans="1:17" s="8" customFormat="1" ht="42" customHeight="1" thickBot="1">
      <c r="A14" s="450" t="s">
        <v>1345</v>
      </c>
      <c r="B14" s="55" t="s">
        <v>829</v>
      </c>
      <c r="C14" s="55" t="s">
        <v>829</v>
      </c>
      <c r="D14" s="55" t="s">
        <v>829</v>
      </c>
      <c r="E14" s="1309"/>
      <c r="F14" s="1310"/>
      <c r="G14" s="1310"/>
      <c r="H14" s="1310"/>
      <c r="I14" s="1310"/>
      <c r="J14" s="1310"/>
      <c r="K14" s="1310"/>
      <c r="L14" s="1311"/>
      <c r="M14" s="445"/>
      <c r="N14" s="448" t="str">
        <f t="shared" si="0"/>
        <v>○</v>
      </c>
      <c r="O14" s="448" t="str">
        <f t="shared" si="1"/>
        <v>○</v>
      </c>
      <c r="P14" s="51"/>
      <c r="Q14" s="74"/>
    </row>
    <row r="15" spans="1:17" s="8" customFormat="1" ht="42" customHeight="1" thickBot="1">
      <c r="A15" s="451" t="s">
        <v>1348</v>
      </c>
      <c r="B15" s="55" t="s">
        <v>829</v>
      </c>
      <c r="C15" s="55" t="s">
        <v>829</v>
      </c>
      <c r="D15" s="55" t="s">
        <v>829</v>
      </c>
      <c r="E15" s="1309"/>
      <c r="F15" s="1310"/>
      <c r="G15" s="1310"/>
      <c r="H15" s="1310"/>
      <c r="I15" s="1310"/>
      <c r="J15" s="1310"/>
      <c r="K15" s="1310"/>
      <c r="L15" s="1311"/>
      <c r="M15" s="445"/>
      <c r="N15" s="448" t="str">
        <f t="shared" si="0"/>
        <v>○</v>
      </c>
      <c r="O15" s="448" t="str">
        <f t="shared" si="1"/>
        <v>○</v>
      </c>
      <c r="P15" s="51"/>
      <c r="Q15" s="74"/>
    </row>
    <row r="16" spans="1:17" s="8" customFormat="1" ht="42" customHeight="1" thickBot="1">
      <c r="A16" s="451" t="s">
        <v>1350</v>
      </c>
      <c r="B16" s="55" t="s">
        <v>829</v>
      </c>
      <c r="C16" s="55" t="s">
        <v>829</v>
      </c>
      <c r="D16" s="55" t="s">
        <v>829</v>
      </c>
      <c r="E16" s="1309"/>
      <c r="F16" s="1310"/>
      <c r="G16" s="1310"/>
      <c r="H16" s="1310"/>
      <c r="I16" s="1310"/>
      <c r="J16" s="1310"/>
      <c r="K16" s="1310"/>
      <c r="L16" s="1311"/>
      <c r="M16" s="445"/>
      <c r="N16" s="448" t="str">
        <f t="shared" si="0"/>
        <v>○</v>
      </c>
      <c r="O16" s="448" t="str">
        <f t="shared" si="1"/>
        <v>○</v>
      </c>
      <c r="P16" s="51"/>
      <c r="Q16" s="74"/>
    </row>
    <row r="17" spans="1:17" s="8" customFormat="1" ht="42" customHeight="1" thickBot="1">
      <c r="A17" s="451" t="s">
        <v>1346</v>
      </c>
      <c r="B17" s="55" t="s">
        <v>829</v>
      </c>
      <c r="C17" s="55" t="s">
        <v>829</v>
      </c>
      <c r="D17" s="55" t="s">
        <v>829</v>
      </c>
      <c r="E17" s="1309"/>
      <c r="F17" s="1310"/>
      <c r="G17" s="1310"/>
      <c r="H17" s="1310"/>
      <c r="I17" s="1310"/>
      <c r="J17" s="1310"/>
      <c r="K17" s="1310"/>
      <c r="L17" s="1311"/>
      <c r="M17" s="445"/>
      <c r="N17" s="448" t="str">
        <f t="shared" si="0"/>
        <v>○</v>
      </c>
      <c r="O17" s="448" t="str">
        <f t="shared" si="1"/>
        <v>○</v>
      </c>
      <c r="P17" s="51"/>
      <c r="Q17" s="74"/>
    </row>
    <row r="18" spans="1:17" s="8" customFormat="1" ht="42" customHeight="1" thickBot="1">
      <c r="A18" s="451" t="s">
        <v>830</v>
      </c>
      <c r="B18" s="55" t="s">
        <v>829</v>
      </c>
      <c r="C18" s="55" t="s">
        <v>829</v>
      </c>
      <c r="D18" s="55" t="s">
        <v>829</v>
      </c>
      <c r="E18" s="1309"/>
      <c r="F18" s="1310"/>
      <c r="G18" s="1310"/>
      <c r="H18" s="1310"/>
      <c r="I18" s="1310"/>
      <c r="J18" s="1310"/>
      <c r="K18" s="1310"/>
      <c r="L18" s="1311"/>
      <c r="M18" s="445"/>
      <c r="N18" s="448" t="str">
        <f t="shared" si="0"/>
        <v>○</v>
      </c>
      <c r="O18" s="448" t="str">
        <f t="shared" si="1"/>
        <v>○</v>
      </c>
      <c r="P18" s="51"/>
      <c r="Q18" s="74"/>
    </row>
    <row r="19" spans="1:17" s="8" customFormat="1" ht="42" customHeight="1" thickBot="1">
      <c r="A19" s="451" t="s">
        <v>49</v>
      </c>
      <c r="B19" s="55" t="s">
        <v>829</v>
      </c>
      <c r="C19" s="55" t="s">
        <v>829</v>
      </c>
      <c r="D19" s="55" t="s">
        <v>829</v>
      </c>
      <c r="E19" s="1309"/>
      <c r="F19" s="1310"/>
      <c r="G19" s="1310"/>
      <c r="H19" s="1310"/>
      <c r="I19" s="1310"/>
      <c r="J19" s="1310"/>
      <c r="K19" s="1310"/>
      <c r="L19" s="1311"/>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74" t="s">
        <v>831</v>
      </c>
      <c r="B1" s="1275"/>
      <c r="C1" s="1275"/>
      <c r="D1" s="1275"/>
      <c r="E1" s="1275"/>
      <c r="F1" s="1275"/>
      <c r="G1" s="1275"/>
      <c r="I1" s="53"/>
      <c r="J1" s="53"/>
      <c r="K1" s="122"/>
    </row>
    <row r="2" spans="1:11" ht="24.95" customHeight="1" thickTop="1" thickBot="1">
      <c r="A2" s="1277" t="s">
        <v>832</v>
      </c>
      <c r="B2" s="1277"/>
      <c r="C2" s="1277"/>
      <c r="D2" s="1277"/>
      <c r="E2" s="1277"/>
      <c r="F2" s="1277"/>
      <c r="G2" s="388" t="str">
        <f>IF(COUNTIF(I9,"×")=0,"入力済","未入力あり")</f>
        <v>入力済</v>
      </c>
      <c r="H2" s="1270"/>
      <c r="I2" s="53"/>
      <c r="J2" s="53"/>
      <c r="K2" s="293"/>
    </row>
    <row r="3" spans="1:11" ht="5.0999999999999996" customHeight="1" thickTop="1">
      <c r="H3" s="1270"/>
      <c r="I3" s="452"/>
      <c r="J3" s="452"/>
      <c r="K3" s="453"/>
    </row>
    <row r="4" spans="1:11" ht="20.100000000000001" customHeight="1">
      <c r="E4" s="454" t="s">
        <v>725</v>
      </c>
      <c r="F4" s="1278" t="str">
        <f>表紙!E2</f>
        <v>社会医療法人生長会　ベルランド総合病院</v>
      </c>
      <c r="G4" s="1279"/>
      <c r="H4" s="1270"/>
      <c r="I4" s="452"/>
      <c r="J4" s="452"/>
      <c r="K4" s="455" t="s">
        <v>204</v>
      </c>
    </row>
    <row r="5" spans="1:11" ht="20.100000000000001" customHeight="1">
      <c r="E5" s="1096" t="s">
        <v>878</v>
      </c>
      <c r="F5" s="414" t="str">
        <f>別紙1未充足要件!E5</f>
        <v>令和７年９月１日時点</v>
      </c>
      <c r="G5"/>
      <c r="K5" s="123"/>
    </row>
    <row r="6" spans="1:11" ht="38.25" customHeight="1">
      <c r="A6" s="1333" t="s">
        <v>1600</v>
      </c>
      <c r="B6" s="1333"/>
      <c r="C6" s="1333"/>
      <c r="D6" s="1333"/>
      <c r="E6" s="1333"/>
      <c r="F6" s="1333"/>
      <c r="G6" s="1333"/>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4" t="s">
        <v>1806</v>
      </c>
      <c r="B9" s="1325"/>
      <c r="C9" s="1325"/>
      <c r="D9" s="1325"/>
      <c r="E9" s="1325"/>
      <c r="F9" s="1325"/>
      <c r="G9" s="1326"/>
      <c r="I9" s="8" t="str">
        <f>IF(A9&lt;&gt;"","○","×")</f>
        <v>○</v>
      </c>
      <c r="J9" s="8"/>
      <c r="K9" s="123"/>
    </row>
    <row r="10" spans="1:11">
      <c r="A10" s="1327"/>
      <c r="B10" s="1328"/>
      <c r="C10" s="1328"/>
      <c r="D10" s="1328"/>
      <c r="E10" s="1328"/>
      <c r="F10" s="1328"/>
      <c r="G10" s="1329"/>
      <c r="K10" s="123"/>
    </row>
    <row r="11" spans="1:11">
      <c r="A11" s="1327"/>
      <c r="B11" s="1328"/>
      <c r="C11" s="1328"/>
      <c r="D11" s="1328"/>
      <c r="E11" s="1328"/>
      <c r="F11" s="1328"/>
      <c r="G11" s="1329"/>
      <c r="K11" s="123"/>
    </row>
    <row r="12" spans="1:11">
      <c r="A12" s="1327"/>
      <c r="B12" s="1328"/>
      <c r="C12" s="1328"/>
      <c r="D12" s="1328"/>
      <c r="E12" s="1328"/>
      <c r="F12" s="1328"/>
      <c r="G12" s="1329"/>
      <c r="K12" s="123"/>
    </row>
    <row r="13" spans="1:11">
      <c r="A13" s="1327"/>
      <c r="B13" s="1328"/>
      <c r="C13" s="1328"/>
      <c r="D13" s="1328"/>
      <c r="E13" s="1328"/>
      <c r="F13" s="1328"/>
      <c r="G13" s="1329"/>
      <c r="K13" s="123"/>
    </row>
    <row r="14" spans="1:11">
      <c r="A14" s="1327"/>
      <c r="B14" s="1328"/>
      <c r="C14" s="1328"/>
      <c r="D14" s="1328"/>
      <c r="E14" s="1328"/>
      <c r="F14" s="1328"/>
      <c r="G14" s="1329"/>
      <c r="K14" s="123"/>
    </row>
    <row r="15" spans="1:11">
      <c r="A15" s="1327"/>
      <c r="B15" s="1328"/>
      <c r="C15" s="1328"/>
      <c r="D15" s="1328"/>
      <c r="E15" s="1328"/>
      <c r="F15" s="1328"/>
      <c r="G15" s="1329"/>
      <c r="K15" s="123"/>
    </row>
    <row r="16" spans="1:11">
      <c r="A16" s="1327"/>
      <c r="B16" s="1328"/>
      <c r="C16" s="1328"/>
      <c r="D16" s="1328"/>
      <c r="E16" s="1328"/>
      <c r="F16" s="1328"/>
      <c r="G16" s="1329"/>
      <c r="K16" s="123"/>
    </row>
    <row r="17" spans="1:11" ht="14.25" thickBot="1">
      <c r="A17" s="1330"/>
      <c r="B17" s="1331"/>
      <c r="C17" s="1331"/>
      <c r="D17" s="1331"/>
      <c r="E17" s="1331"/>
      <c r="F17" s="1331"/>
      <c r="G17" s="1332"/>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2026-03-19T05:46:57Z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