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mhlw（連絡先シート削除済み）アルファベット表記\"/>
    </mc:Choice>
  </mc:AlternateContent>
  <xr:revisionPtr revIDLastSave="0" documentId="13_ncr:1_{BB3C383E-1566-4184-AF15-DF5F2B4B0B5C}" xr6:coauthVersionLast="47" xr6:coauthVersionMax="47" xr10:uidLastSave="{00000000-0000-0000-0000-000000000000}"/>
  <bookViews>
    <workbookView xWindow="6390" yWindow="1080" windowWidth="19875" windowHeight="1317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'(参考)診療割合算出表'!$A$1:$N$20</definedName>
    <definedName name="_xlnm.Print_Area" localSheetId="0">'事務局使用（発出時は非表示にすること）'!$A$1:$ED$5</definedName>
    <definedName name="_xlnm.Print_Area" localSheetId="1">入力時の注意事項!$A$1:$H$35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別紙19チーム医療の提供体制!$A$1:$P$16</definedName>
    <definedName name="_xlnm.Print_Area" localSheetId="6">別紙1未充足要件!$A$1:$G$50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別紙25グループ指定の状況!$A$1:$H$21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'様式４(機能別)'!$A$1:$N$608</definedName>
    <definedName name="_xlnm.Print_Area" localSheetId="3">'様式4（全般事項）'!$A$1:$W$318</definedName>
    <definedName name="_xlnm.Print_Titles" localSheetId="4">'様式４(機能別)'!$11:$11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5" i="195" l="1"/>
  <c r="J180" i="195"/>
  <c r="J181" i="195"/>
  <c r="J183" i="195"/>
  <c r="J184" i="195" s="1"/>
  <c r="J379" i="195"/>
  <c r="H6" i="4"/>
  <c r="A3" i="4"/>
  <c r="O5" i="4"/>
  <c r="H5" i="4"/>
  <c r="K31" i="175"/>
  <c r="K35" i="175"/>
  <c r="K36" i="175"/>
  <c r="K34" i="175"/>
  <c r="Y8" i="174"/>
  <c r="Y7" i="174"/>
  <c r="F3" i="171"/>
  <c r="H46" i="171"/>
  <c r="H41" i="171"/>
  <c r="AA18" i="199"/>
  <c r="L18" i="158"/>
  <c r="H36" i="171"/>
  <c r="H35" i="171"/>
  <c r="H13" i="171"/>
  <c r="J182" i="195" l="1"/>
  <c r="J185" i="195" s="1"/>
  <c r="J186" i="195" s="1"/>
  <c r="W307" i="4"/>
  <c r="W207" i="4"/>
  <c r="O207" i="4"/>
  <c r="V207" i="4"/>
  <c r="A7" i="158"/>
  <c r="A13" i="158" s="1"/>
  <c r="C11" i="168" l="1"/>
  <c r="W229" i="4"/>
  <c r="W227" i="4"/>
  <c r="V229" i="4"/>
  <c r="W228" i="4"/>
  <c r="V228"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G11"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3" i="4"/>
  <c r="W26" i="4" l="1"/>
  <c r="W25" i="4"/>
  <c r="W24" i="4"/>
  <c r="W23" i="4"/>
  <c r="W22" i="4"/>
  <c r="W21" i="4"/>
  <c r="W20" i="4"/>
  <c r="M385" i="195" l="1"/>
  <c r="M386" i="195"/>
  <c r="M384" i="195"/>
  <c r="M50" i="195"/>
  <c r="M49" i="195"/>
  <c r="M48" i="195"/>
  <c r="Z19" i="209"/>
  <c r="M287" i="195"/>
  <c r="C50" i="168"/>
  <c r="C49" i="168"/>
  <c r="C48" i="168"/>
  <c r="C47" i="168"/>
  <c r="C46" i="168"/>
  <c r="C45" i="168"/>
  <c r="C44" i="168"/>
  <c r="C43" i="168"/>
  <c r="C42" i="168"/>
  <c r="C41" i="168"/>
  <c r="C40" i="168"/>
  <c r="C39" i="168"/>
  <c r="C38" i="168"/>
  <c r="C37" i="168"/>
  <c r="C36" i="168"/>
  <c r="C35" i="168"/>
  <c r="C34" i="168"/>
  <c r="C33" i="168"/>
  <c r="C32" i="168"/>
  <c r="C31" i="168"/>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B13" i="210"/>
  <c r="G5" i="201"/>
  <c r="BR7" i="194"/>
  <c r="J15" i="187"/>
  <c r="H2" i="187" s="1"/>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3" i="4" l="1"/>
  <c r="V273" i="4"/>
  <c r="W262" i="4"/>
  <c r="V262" i="4"/>
  <c r="W258" i="4"/>
  <c r="V258" i="4"/>
  <c r="W246" i="4"/>
  <c r="V246" i="4"/>
  <c r="W242" i="4"/>
  <c r="V242" i="4"/>
  <c r="W237" i="4"/>
  <c r="V237" i="4"/>
  <c r="U2" i="200"/>
  <c r="B31" i="2" s="1"/>
  <c r="Y43" i="177"/>
  <c r="Y42" i="177"/>
  <c r="Y38" i="177"/>
  <c r="Y37" i="177"/>
  <c r="Y33" i="177"/>
  <c r="Y32" i="177"/>
  <c r="Y41" i="177"/>
  <c r="Y36" i="177"/>
  <c r="Y31" i="177"/>
  <c r="W2" i="177" s="1"/>
  <c r="Q14" i="205"/>
  <c r="Q13" i="205"/>
  <c r="Q12" i="205"/>
  <c r="Q11" i="205"/>
  <c r="Q10" i="205"/>
  <c r="Q9" i="205"/>
  <c r="Q8" i="205"/>
  <c r="O2" i="205" s="1"/>
  <c r="B32" i="2" s="1"/>
  <c r="Q7" i="205"/>
  <c r="O5" i="205"/>
  <c r="O6" i="4"/>
  <c r="W175" i="4"/>
  <c r="V175" i="4"/>
  <c r="W178" i="4"/>
  <c r="V178" i="4"/>
  <c r="W177" i="4"/>
  <c r="V177" i="4"/>
  <c r="W176" i="4"/>
  <c r="V176" i="4"/>
  <c r="W174" i="4"/>
  <c r="W173" i="4"/>
  <c r="W172" i="4"/>
  <c r="V174" i="4"/>
  <c r="V173" i="4"/>
  <c r="V172" i="4"/>
  <c r="W171" i="4"/>
  <c r="V171" i="4"/>
  <c r="Y13" i="174" l="1"/>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H2" i="176" s="1"/>
  <c r="J24" i="176"/>
  <c r="J23" i="176"/>
  <c r="J16" i="176"/>
  <c r="J15" i="176"/>
  <c r="J11" i="176"/>
  <c r="J10" i="176"/>
  <c r="K18" i="175"/>
  <c r="K17" i="175"/>
  <c r="K10" i="175"/>
  <c r="K11" i="175"/>
  <c r="K12" i="175"/>
  <c r="K13" i="175"/>
  <c r="K14" i="175"/>
  <c r="K9" i="175"/>
  <c r="K26" i="175"/>
  <c r="K27" i="175"/>
  <c r="K28" i="175"/>
  <c r="K29" i="175"/>
  <c r="K30" i="175"/>
  <c r="K32" i="175"/>
  <c r="K33" i="175"/>
  <c r="Y14" i="174"/>
  <c r="Y11" i="174"/>
  <c r="Y10" i="174"/>
  <c r="Y9"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F2" i="168"/>
  <c r="B14" i="2" s="1"/>
  <c r="J2" i="158" l="1"/>
  <c r="B20" i="2" s="1"/>
  <c r="G2" i="173"/>
  <c r="W2" i="174"/>
  <c r="I2" i="175"/>
  <c r="K2" i="201"/>
  <c r="C14" i="173" l="1"/>
  <c r="G18" i="176" l="1"/>
  <c r="G5" i="198"/>
  <c r="G19" i="176" l="1"/>
  <c r="G30" i="176"/>
  <c r="G31" i="176" s="1"/>
  <c r="G32" i="176" s="1"/>
  <c r="G33" i="176" s="1"/>
  <c r="G12" i="176"/>
  <c r="G7" i="176" s="1"/>
  <c r="A16" i="158" l="1"/>
  <c r="W303" i="4" l="1"/>
  <c r="V303" i="4"/>
  <c r="W300" i="4"/>
  <c r="V300" i="4"/>
  <c r="B16" i="204"/>
  <c r="B13" i="204"/>
  <c r="B6" i="204"/>
  <c r="B7" i="204" s="1"/>
  <c r="C29" i="168"/>
  <c r="B17" i="204" l="1"/>
  <c r="B18" i="204" s="1"/>
  <c r="C30" i="168"/>
  <c r="C25" i="168"/>
  <c r="C26" i="168"/>
  <c r="C27" i="168"/>
  <c r="C28" i="168"/>
  <c r="V216" i="4" l="1"/>
  <c r="R213" i="4" l="1"/>
  <c r="V213" i="4"/>
  <c r="W212" i="4"/>
  <c r="V212" i="4"/>
  <c r="W211" i="4"/>
  <c r="V211" i="4"/>
  <c r="W35" i="4"/>
  <c r="J519" i="195" l="1"/>
  <c r="J197" i="195" l="1"/>
  <c r="W269" i="4"/>
  <c r="V269" i="4"/>
  <c r="V268" i="4"/>
  <c r="W107" i="4"/>
  <c r="V107" i="4"/>
  <c r="V119" i="4"/>
  <c r="W119" i="4"/>
  <c r="W73" i="4"/>
  <c r="V73" i="4"/>
  <c r="W150" i="4"/>
  <c r="V150" i="4"/>
  <c r="W66" i="4"/>
  <c r="V66" i="4"/>
  <c r="C36" i="2"/>
  <c r="C35" i="2"/>
  <c r="B41" i="2"/>
  <c r="B40" i="2"/>
  <c r="B39" i="2"/>
  <c r="B38" i="2"/>
  <c r="B37" i="2"/>
  <c r="B36" i="2"/>
  <c r="B35" i="2"/>
  <c r="B34" i="2"/>
  <c r="B33" i="2"/>
  <c r="B30" i="2"/>
  <c r="B29" i="2"/>
  <c r="B28" i="2"/>
  <c r="B27" i="2"/>
  <c r="B26" i="2"/>
  <c r="B25" i="2"/>
  <c r="B24" i="2"/>
  <c r="B23" i="2"/>
  <c r="B22" i="2"/>
  <c r="B21" i="2"/>
  <c r="B16" i="2"/>
  <c r="B15" i="2"/>
  <c r="V304" i="4"/>
  <c r="V305" i="4"/>
  <c r="V306" i="4"/>
  <c r="V307" i="4"/>
  <c r="W305" i="4"/>
  <c r="W306"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7" i="4"/>
  <c r="V257" i="4"/>
  <c r="W256" i="4"/>
  <c r="V256" i="4"/>
  <c r="V255" i="4"/>
  <c r="W293" i="4"/>
  <c r="V293" i="4"/>
  <c r="W290" i="4"/>
  <c r="V290" i="4"/>
  <c r="W291" i="4"/>
  <c r="V291" i="4"/>
  <c r="W267" i="4"/>
  <c r="V267" i="4"/>
  <c r="W266" i="4"/>
  <c r="V266" i="4"/>
  <c r="V265" i="4"/>
  <c r="W272" i="4"/>
  <c r="V272" i="4"/>
  <c r="W271" i="4"/>
  <c r="V271" i="4"/>
  <c r="V270" i="4"/>
  <c r="H4" i="195"/>
  <c r="H3" i="195"/>
  <c r="V14" i="4"/>
  <c r="V15" i="4"/>
  <c r="V16" i="4"/>
  <c r="V17" i="4"/>
  <c r="V18" i="4"/>
  <c r="V19" i="4"/>
  <c r="V20" i="4"/>
  <c r="V21" i="4"/>
  <c r="V22" i="4"/>
  <c r="V23" i="4"/>
  <c r="V24" i="4"/>
  <c r="V25" i="4"/>
  <c r="V26" i="4"/>
  <c r="V27" i="4"/>
  <c r="V28" i="4"/>
  <c r="V29" i="4"/>
  <c r="V30" i="4"/>
  <c r="V31" i="4"/>
  <c r="V32" i="4"/>
  <c r="V33" i="4"/>
  <c r="V34"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7" i="4"/>
  <c r="V68" i="4"/>
  <c r="V69" i="4"/>
  <c r="V70" i="4"/>
  <c r="V71" i="4"/>
  <c r="V72"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8" i="4"/>
  <c r="V109" i="4"/>
  <c r="V110" i="4"/>
  <c r="V111" i="4"/>
  <c r="V112" i="4"/>
  <c r="V113" i="4"/>
  <c r="V114" i="4"/>
  <c r="V115" i="4"/>
  <c r="V116" i="4"/>
  <c r="V117" i="4"/>
  <c r="V118"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1" i="4"/>
  <c r="V152" i="4"/>
  <c r="V153" i="4"/>
  <c r="V154" i="4"/>
  <c r="V155" i="4"/>
  <c r="V156" i="4"/>
  <c r="V157" i="4"/>
  <c r="V158" i="4"/>
  <c r="V159" i="4"/>
  <c r="V160" i="4"/>
  <c r="V161" i="4"/>
  <c r="V162" i="4"/>
  <c r="V163" i="4"/>
  <c r="V164" i="4"/>
  <c r="V165" i="4"/>
  <c r="V166" i="4"/>
  <c r="V167" i="4"/>
  <c r="V168" i="4"/>
  <c r="V169" i="4"/>
  <c r="V170"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8" i="4"/>
  <c r="V209" i="4"/>
  <c r="V210" i="4"/>
  <c r="V214" i="4"/>
  <c r="V215" i="4"/>
  <c r="V217" i="4"/>
  <c r="V218" i="4"/>
  <c r="V219" i="4"/>
  <c r="V220" i="4"/>
  <c r="V221" i="4"/>
  <c r="V222" i="4"/>
  <c r="V223" i="4"/>
  <c r="V224" i="4"/>
  <c r="V225" i="4"/>
  <c r="V226" i="4"/>
  <c r="V227" i="4"/>
  <c r="V230" i="4"/>
  <c r="V231" i="4"/>
  <c r="V232" i="4"/>
  <c r="V233" i="4"/>
  <c r="V239" i="4"/>
  <c r="V240" i="4"/>
  <c r="V241" i="4"/>
  <c r="V243" i="4"/>
  <c r="V244" i="4"/>
  <c r="V245" i="4"/>
  <c r="V247" i="4"/>
  <c r="V248" i="4"/>
  <c r="V234" i="4"/>
  <c r="V235" i="4"/>
  <c r="V236" i="4"/>
  <c r="V238" i="4"/>
  <c r="V259" i="4"/>
  <c r="V260" i="4"/>
  <c r="V261" i="4"/>
  <c r="V263" i="4"/>
  <c r="V264" i="4"/>
  <c r="V249" i="4"/>
  <c r="V250" i="4"/>
  <c r="V251" i="4"/>
  <c r="V252" i="4"/>
  <c r="V253" i="4"/>
  <c r="V254" i="4"/>
  <c r="V274" i="4"/>
  <c r="V275" i="4"/>
  <c r="V276" i="4"/>
  <c r="V277" i="4"/>
  <c r="V278" i="4"/>
  <c r="V279" i="4"/>
  <c r="V280" i="4"/>
  <c r="V281" i="4"/>
  <c r="V282" i="4"/>
  <c r="V283" i="4"/>
  <c r="V284" i="4"/>
  <c r="V285" i="4"/>
  <c r="V286" i="4"/>
  <c r="V287" i="4"/>
  <c r="V288" i="4"/>
  <c r="V289" i="4"/>
  <c r="V292" i="4"/>
  <c r="V294" i="4"/>
  <c r="V295" i="4"/>
  <c r="V296" i="4"/>
  <c r="V297" i="4"/>
  <c r="V298" i="4"/>
  <c r="V299" i="4"/>
  <c r="V301" i="4"/>
  <c r="V302" i="4"/>
  <c r="V308" i="4"/>
  <c r="V309" i="4"/>
  <c r="V310" i="4"/>
  <c r="V311" i="4"/>
  <c r="V312" i="4"/>
  <c r="V313" i="4"/>
  <c r="V314" i="4"/>
  <c r="V315" i="4"/>
  <c r="V316" i="4"/>
  <c r="V317" i="4"/>
  <c r="V318" i="4"/>
  <c r="V13" i="4"/>
  <c r="W317" i="4"/>
  <c r="W316" i="4"/>
  <c r="W313" i="4"/>
  <c r="W312" i="4"/>
  <c r="W311" i="4"/>
  <c r="W310" i="4"/>
  <c r="W302" i="4"/>
  <c r="W301" i="4"/>
  <c r="W299" i="4"/>
  <c r="W297" i="4"/>
  <c r="W296" i="4"/>
  <c r="W295" i="4"/>
  <c r="W292" i="4"/>
  <c r="W289" i="4"/>
  <c r="W288" i="4"/>
  <c r="W287" i="4"/>
  <c r="W286" i="4"/>
  <c r="W283" i="4"/>
  <c r="W282" i="4"/>
  <c r="W281" i="4"/>
  <c r="W280" i="4"/>
  <c r="W279" i="4"/>
  <c r="W278" i="4"/>
  <c r="W277" i="4"/>
  <c r="W254" i="4"/>
  <c r="W253" i="4"/>
  <c r="W252" i="4"/>
  <c r="W251" i="4"/>
  <c r="W250" i="4"/>
  <c r="W264" i="4"/>
  <c r="W263" i="4"/>
  <c r="W261" i="4"/>
  <c r="W260" i="4"/>
  <c r="W238" i="4"/>
  <c r="W236" i="4"/>
  <c r="W235" i="4"/>
  <c r="W248" i="4"/>
  <c r="W247" i="4"/>
  <c r="W245" i="4"/>
  <c r="W244" i="4"/>
  <c r="W241" i="4"/>
  <c r="W240"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13" i="168" l="1"/>
  <c r="CJ7" i="194" s="1"/>
  <c r="CB7" i="194"/>
  <c r="C16" i="168"/>
  <c r="CV7" i="194" s="1"/>
  <c r="C23" i="168"/>
  <c r="DX7" i="194" s="1"/>
  <c r="C17" i="168"/>
  <c r="CZ7" i="194" s="1"/>
  <c r="C14" i="168"/>
  <c r="CN7" i="194" s="1"/>
  <c r="C24" i="168"/>
  <c r="EB7" i="194" s="1"/>
  <c r="C12" i="168"/>
  <c r="CF7" i="194" s="1"/>
  <c r="C19" i="168"/>
  <c r="DH7" i="194" s="1"/>
  <c r="C21" i="168"/>
  <c r="DP7" i="194" s="1"/>
  <c r="C18" i="168"/>
  <c r="DD7" i="194" s="1"/>
  <c r="C15" i="168"/>
  <c r="CR7" i="194" s="1"/>
  <c r="C20" i="168"/>
  <c r="DL7" i="194" s="1"/>
  <c r="C22" i="168"/>
  <c r="DT7" i="194" s="1"/>
  <c r="F5" i="202"/>
  <c r="W5" i="200"/>
  <c r="G5" i="199" l="1"/>
  <c r="G5" i="197" l="1"/>
  <c r="W170" i="4" l="1"/>
  <c r="W158" i="4"/>
  <c r="D7" i="194" l="1"/>
  <c r="C7" i="194"/>
  <c r="B7" i="194"/>
  <c r="A7" i="194" s="1"/>
  <c r="F210" i="4" l="1"/>
  <c r="O206" i="4"/>
  <c r="O205" i="4"/>
  <c r="O204" i="4"/>
  <c r="G220" i="4"/>
  <c r="E5" i="168"/>
  <c r="G5" i="158"/>
  <c r="F6" i="171"/>
  <c r="D5" i="173"/>
  <c r="E5" i="174"/>
  <c r="F5" i="175"/>
  <c r="E5" i="176"/>
  <c r="F5" i="177"/>
  <c r="G5" i="179"/>
  <c r="W5" i="181"/>
  <c r="G5" i="183"/>
  <c r="F6" i="187"/>
  <c r="H5" i="188"/>
  <c r="G5" i="189"/>
  <c r="F9" i="190"/>
  <c r="F7" i="190"/>
  <c r="E5" i="191"/>
  <c r="W195" i="4" l="1"/>
  <c r="H11" i="190" l="1"/>
  <c r="I38" i="188"/>
  <c r="I26" i="188"/>
  <c r="I14" i="188"/>
  <c r="W226" i="4"/>
  <c r="W223" i="4"/>
  <c r="W222" i="4"/>
  <c r="W221" i="4"/>
  <c r="W215" i="4"/>
  <c r="W214" i="4"/>
  <c r="W206" i="4"/>
  <c r="W205" i="4"/>
  <c r="W204" i="4"/>
  <c r="W202" i="4"/>
  <c r="W200" i="4"/>
  <c r="W199" i="4"/>
  <c r="W198" i="4"/>
  <c r="W194" i="4"/>
  <c r="W193" i="4"/>
  <c r="W192" i="4"/>
  <c r="W191" i="4"/>
  <c r="W190" i="4"/>
  <c r="W189" i="4"/>
  <c r="W188" i="4"/>
  <c r="W187" i="4"/>
  <c r="W186" i="4"/>
  <c r="W185" i="4"/>
  <c r="W184" i="4"/>
  <c r="W183" i="4"/>
  <c r="W182" i="4"/>
  <c r="W169" i="4"/>
  <c r="W168" i="4"/>
  <c r="W167" i="4"/>
  <c r="W166" i="4"/>
  <c r="W165" i="4"/>
  <c r="W164" i="4"/>
  <c r="W163" i="4"/>
  <c r="W162" i="4"/>
  <c r="W161" i="4"/>
  <c r="W160" i="4"/>
  <c r="W159" i="4"/>
  <c r="W157" i="4"/>
  <c r="W154" i="4"/>
  <c r="W153"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8" i="4"/>
  <c r="W117" i="4"/>
  <c r="W116" i="4"/>
  <c r="W115" i="4"/>
  <c r="W114" i="4"/>
  <c r="W113" i="4"/>
  <c r="W112" i="4"/>
  <c r="W111" i="4"/>
  <c r="W110" i="4"/>
  <c r="W109" i="4"/>
  <c r="W108"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2" i="4"/>
  <c r="W71" i="4"/>
  <c r="W70" i="4"/>
  <c r="W65" i="4"/>
  <c r="W64" i="4"/>
  <c r="W63" i="4"/>
  <c r="W62" i="4"/>
  <c r="W61" i="4"/>
  <c r="W60" i="4"/>
  <c r="W59" i="4"/>
  <c r="W58" i="4"/>
  <c r="W57" i="4"/>
  <c r="W56" i="4"/>
  <c r="W55" i="4"/>
  <c r="W54" i="4"/>
  <c r="W52" i="4"/>
  <c r="W51" i="4"/>
  <c r="W50" i="4"/>
  <c r="W49" i="4"/>
  <c r="W48" i="4"/>
  <c r="W47" i="4"/>
  <c r="W46" i="4"/>
  <c r="W45" i="4"/>
  <c r="W44" i="4"/>
  <c r="W43" i="4"/>
  <c r="W42" i="4"/>
  <c r="W36" i="4"/>
  <c r="W33" i="4"/>
  <c r="W32" i="4"/>
  <c r="W31" i="4"/>
  <c r="W30" i="4"/>
  <c r="W5" i="4"/>
  <c r="V1" i="4" l="1"/>
  <c r="B9" i="2" s="1"/>
  <c r="R2" i="195"/>
  <c r="S2" i="195"/>
  <c r="K3" i="195" s="1"/>
  <c r="K2" i="195" l="1"/>
  <c r="B10" i="2" s="1"/>
</calcChain>
</file>

<file path=xl/sharedStrings.xml><?xml version="1.0" encoding="utf-8"?>
<sst xmlns="http://schemas.openxmlformats.org/spreadsheetml/2006/main" count="4243" uniqueCount="2083">
  <si>
    <t>令和６年度現況報告書</t>
  </si>
  <si>
    <t>時点</t>
    <rPh sb="0" eb="2">
      <t>ジテン</t>
    </rPh>
    <phoneticPr fontId="10"/>
  </si>
  <si>
    <t>令和６年９月１日時点</t>
  </si>
  <si>
    <t>期間</t>
    <rPh sb="0" eb="2">
      <t>キカン</t>
    </rPh>
    <phoneticPr fontId="10"/>
  </si>
  <si>
    <t>令和５年１月１日～12月31日</t>
  </si>
  <si>
    <t>ロジモデ指標のままを入れている</t>
    <rPh sb="4" eb="6">
      <t>シヒョウ</t>
    </rPh>
    <rPh sb="10" eb="11">
      <t>イ</t>
    </rPh>
    <phoneticPr fontId="10"/>
  </si>
  <si>
    <t>拠点病院等における我が国に多いがんの鏡視下手術の割合</t>
    <phoneticPr fontId="10"/>
  </si>
  <si>
    <t>満たしていない必須要件①</t>
    <rPh sb="0" eb="1">
      <t>ミ</t>
    </rPh>
    <rPh sb="7" eb="9">
      <t>ヒッス</t>
    </rPh>
    <rPh sb="9" eb="11">
      <t>ヨウケン</t>
    </rPh>
    <phoneticPr fontId="10"/>
  </si>
  <si>
    <t>満たしていない必須要件②</t>
    <rPh sb="0" eb="1">
      <t>ミ</t>
    </rPh>
    <rPh sb="7" eb="9">
      <t>ヒッス</t>
    </rPh>
    <rPh sb="9" eb="11">
      <t>ヨウケン</t>
    </rPh>
    <phoneticPr fontId="10"/>
  </si>
  <si>
    <t>満たしていない必須要件③</t>
    <rPh sb="0" eb="1">
      <t>ミ</t>
    </rPh>
    <rPh sb="7" eb="9">
      <t>ヒッス</t>
    </rPh>
    <rPh sb="9" eb="11">
      <t>ヨウケン</t>
    </rPh>
    <phoneticPr fontId="10"/>
  </si>
  <si>
    <t>満たしていない必須要件④</t>
    <rPh sb="0" eb="1">
      <t>ミ</t>
    </rPh>
    <rPh sb="7" eb="9">
      <t>ヒッス</t>
    </rPh>
    <rPh sb="9" eb="11">
      <t>ヨウケン</t>
    </rPh>
    <phoneticPr fontId="10"/>
  </si>
  <si>
    <t>満たしていない必須要件⑤</t>
    <rPh sb="0" eb="1">
      <t>ミ</t>
    </rPh>
    <rPh sb="7" eb="9">
      <t>ヒッス</t>
    </rPh>
    <rPh sb="9" eb="11">
      <t>ヨウケン</t>
    </rPh>
    <phoneticPr fontId="10"/>
  </si>
  <si>
    <t>満たしていない必須要件⑥</t>
    <rPh sb="0" eb="1">
      <t>ミ</t>
    </rPh>
    <rPh sb="7" eb="9">
      <t>ヒッス</t>
    </rPh>
    <rPh sb="9" eb="11">
      <t>ヨウケン</t>
    </rPh>
    <phoneticPr fontId="10"/>
  </si>
  <si>
    <t>満たしていない必須要件⑦</t>
    <rPh sb="0" eb="1">
      <t>ミ</t>
    </rPh>
    <rPh sb="7" eb="9">
      <t>ヒッス</t>
    </rPh>
    <rPh sb="9" eb="11">
      <t>ヨウケン</t>
    </rPh>
    <phoneticPr fontId="10"/>
  </si>
  <si>
    <t>満たしていない必須要件⑧</t>
    <rPh sb="0" eb="1">
      <t>ミ</t>
    </rPh>
    <rPh sb="7" eb="9">
      <t>ヒッス</t>
    </rPh>
    <rPh sb="9" eb="11">
      <t>ヨウケン</t>
    </rPh>
    <phoneticPr fontId="10"/>
  </si>
  <si>
    <t>満たしていない必須要件⑨</t>
    <rPh sb="0" eb="1">
      <t>ミ</t>
    </rPh>
    <rPh sb="7" eb="9">
      <t>ヒッス</t>
    </rPh>
    <rPh sb="9" eb="11">
      <t>ヨウケン</t>
    </rPh>
    <phoneticPr fontId="10"/>
  </si>
  <si>
    <t>満たしていない必須要件⑩</t>
    <rPh sb="0" eb="1">
      <t>ミ</t>
    </rPh>
    <rPh sb="7" eb="9">
      <t>ヒッス</t>
    </rPh>
    <rPh sb="9" eb="11">
      <t>ヨウケン</t>
    </rPh>
    <phoneticPr fontId="10"/>
  </si>
  <si>
    <t>満たしていない必須要件⑪</t>
    <rPh sb="0" eb="1">
      <t>ミ</t>
    </rPh>
    <rPh sb="7" eb="9">
      <t>ヒッス</t>
    </rPh>
    <rPh sb="9" eb="11">
      <t>ヨウケン</t>
    </rPh>
    <phoneticPr fontId="10"/>
  </si>
  <si>
    <t>満たしていない必須要件⑫</t>
    <rPh sb="0" eb="1">
      <t>ミ</t>
    </rPh>
    <rPh sb="7" eb="9">
      <t>ヒッス</t>
    </rPh>
    <rPh sb="9" eb="11">
      <t>ヨウケン</t>
    </rPh>
    <phoneticPr fontId="10"/>
  </si>
  <si>
    <t>満たしていない必須要件⑬</t>
    <rPh sb="0" eb="1">
      <t>ミ</t>
    </rPh>
    <rPh sb="7" eb="9">
      <t>ヒッス</t>
    </rPh>
    <rPh sb="9" eb="11">
      <t>ヨウケン</t>
    </rPh>
    <phoneticPr fontId="10"/>
  </si>
  <si>
    <t>満たしていない必須要件⑭</t>
    <rPh sb="0" eb="1">
      <t>ミ</t>
    </rPh>
    <rPh sb="7" eb="9">
      <t>ヒッス</t>
    </rPh>
    <rPh sb="9" eb="11">
      <t>ヨウケン</t>
    </rPh>
    <phoneticPr fontId="10"/>
  </si>
  <si>
    <t>＃</t>
    <phoneticPr fontId="10"/>
  </si>
  <si>
    <t>都道府県</t>
    <rPh sb="0" eb="4">
      <t>トドウフケン</t>
    </rPh>
    <phoneticPr fontId="10"/>
  </si>
  <si>
    <t>２次医療圏</t>
    <rPh sb="1" eb="2">
      <t>ツギ</t>
    </rPh>
    <rPh sb="2" eb="4">
      <t>イリョウ</t>
    </rPh>
    <rPh sb="4" eb="5">
      <t>ケン</t>
    </rPh>
    <phoneticPr fontId="10"/>
  </si>
  <si>
    <t>がん医療圏</t>
    <rPh sb="2" eb="4">
      <t>イリョウ</t>
    </rPh>
    <rPh sb="4" eb="5">
      <t>ケン</t>
    </rPh>
    <phoneticPr fontId="10"/>
  </si>
  <si>
    <t>処方箋発行医療機関コード（10桁）</t>
  </si>
  <si>
    <t>病院名</t>
    <rPh sb="0" eb="2">
      <t>ビョウイン</t>
    </rPh>
    <rPh sb="2" eb="3">
      <t>メイ</t>
    </rPh>
    <phoneticPr fontId="10"/>
  </si>
  <si>
    <t>現行類型</t>
    <rPh sb="0" eb="2">
      <t>ゲンコウ</t>
    </rPh>
    <rPh sb="2" eb="4">
      <t>ルイケイ</t>
    </rPh>
    <phoneticPr fontId="10"/>
  </si>
  <si>
    <t>推薦類型</t>
    <rPh sb="0" eb="2">
      <t>スイセン</t>
    </rPh>
    <rPh sb="2" eb="4">
      <t>ルイケイ</t>
    </rPh>
    <phoneticPr fontId="10"/>
  </si>
  <si>
    <t>指定辞退</t>
    <rPh sb="0" eb="2">
      <t>シテイ</t>
    </rPh>
    <rPh sb="2" eb="4">
      <t>ジタイ</t>
    </rPh>
    <phoneticPr fontId="10"/>
  </si>
  <si>
    <t>院内がん登録</t>
    <rPh sb="0" eb="2">
      <t>インナイ</t>
    </rPh>
    <rPh sb="4" eb="6">
      <t>トウロク</t>
    </rPh>
    <phoneticPr fontId="10"/>
  </si>
  <si>
    <t>悪性腫瘍の手術件数</t>
    <rPh sb="0" eb="2">
      <t>アクセイ</t>
    </rPh>
    <rPh sb="2" eb="4">
      <t>シュヨウ</t>
    </rPh>
    <rPh sb="5" eb="7">
      <t>シュジュツ</t>
    </rPh>
    <rPh sb="7" eb="9">
      <t>ケンスウ</t>
    </rPh>
    <phoneticPr fontId="10"/>
  </si>
  <si>
    <t>がんに係る薬物療法のべ患者数</t>
    <rPh sb="3" eb="4">
      <t>カカ</t>
    </rPh>
    <rPh sb="5" eb="7">
      <t>ヤクブツ</t>
    </rPh>
    <rPh sb="7" eb="9">
      <t>リョウホウ</t>
    </rPh>
    <rPh sb="11" eb="13">
      <t>カンジャ</t>
    </rPh>
    <rPh sb="13" eb="14">
      <t>スウ</t>
    </rPh>
    <phoneticPr fontId="10"/>
  </si>
  <si>
    <t>放射線治療のべ患者数</t>
    <phoneticPr fontId="10"/>
  </si>
  <si>
    <t>緩和ケア新規介入患者数</t>
    <rPh sb="0" eb="2">
      <t>カンワ</t>
    </rPh>
    <rPh sb="4" eb="6">
      <t>シンキ</t>
    </rPh>
    <rPh sb="6" eb="8">
      <t>カイニュウ</t>
    </rPh>
    <rPh sb="8" eb="10">
      <t>カンジャ</t>
    </rPh>
    <rPh sb="10" eb="11">
      <t>スウ</t>
    </rPh>
    <phoneticPr fontId="10"/>
  </si>
  <si>
    <t>診療実績の割合</t>
    <rPh sb="0" eb="2">
      <t>シンリョウ</t>
    </rPh>
    <rPh sb="2" eb="4">
      <t>ジッセキ</t>
    </rPh>
    <rPh sb="5" eb="7">
      <t>ワリアイ</t>
    </rPh>
    <phoneticPr fontId="10"/>
  </si>
  <si>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</si>
  <si>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</si>
  <si>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</si>
  <si>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</si>
  <si>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</si>
  <si>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</si>
  <si>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</si>
  <si>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0"/>
  </si>
  <si>
    <t>肺がん</t>
    <rPh sb="0" eb="1">
      <t>ハイ</t>
    </rPh>
    <phoneticPr fontId="10"/>
  </si>
  <si>
    <t>胃がん</t>
    <rPh sb="0" eb="1">
      <t>イ</t>
    </rPh>
    <phoneticPr fontId="10"/>
  </si>
  <si>
    <t>前立腺がん</t>
    <rPh sb="0" eb="3">
      <t>ゼンリツセン</t>
    </rPh>
    <phoneticPr fontId="10"/>
  </si>
  <si>
    <t>肝臓がん</t>
    <rPh sb="0" eb="2">
      <t>カンゾウ</t>
    </rPh>
    <phoneticPr fontId="10"/>
  </si>
  <si>
    <t>胆のうがん</t>
    <rPh sb="0" eb="1">
      <t>タン</t>
    </rPh>
    <phoneticPr fontId="10"/>
  </si>
  <si>
    <t>膵臓がん</t>
    <rPh sb="0" eb="2">
      <t>スイゾウ</t>
    </rPh>
    <phoneticPr fontId="10"/>
  </si>
  <si>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</si>
  <si>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</si>
  <si>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</si>
  <si>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</si>
  <si>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</si>
  <si>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</si>
  <si>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</si>
  <si>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</si>
  <si>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</si>
  <si>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0"/>
  </si>
  <si>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</si>
  <si>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</si>
  <si>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</si>
  <si>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</si>
  <si>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</si>
  <si>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</si>
  <si>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</si>
  <si>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</si>
  <si>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</si>
  <si>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</si>
  <si>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</si>
  <si>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</si>
  <si>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</si>
  <si>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</si>
  <si>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</si>
  <si>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</si>
  <si>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</si>
  <si>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</si>
  <si>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</si>
  <si>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</si>
  <si>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</si>
  <si>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</si>
  <si>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</si>
  <si>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</si>
  <si>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</si>
  <si>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</si>
  <si>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</si>
  <si>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</si>
  <si>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</si>
  <si>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</si>
  <si>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</si>
  <si>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</si>
  <si>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</si>
  <si>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</si>
  <si>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</si>
  <si>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</si>
  <si>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</si>
  <si>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</si>
  <si>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0"/>
  </si>
  <si>
    <t>通し番号</t>
    <rPh sb="0" eb="1">
      <t>トオ</t>
    </rPh>
    <rPh sb="2" eb="4">
      <t>バンゴウ</t>
    </rPh>
    <phoneticPr fontId="3"/>
  </si>
  <si>
    <t>令和６年９月１日時点で満たせていない要件
(通し番号を入力すれば、自動入力されます。)</t>
  </si>
  <si>
    <t>現状の説明</t>
    <rPh sb="0" eb="2">
      <t>ゲンジョウ</t>
    </rPh>
    <rPh sb="3" eb="5">
      <t>セツメイ</t>
    </rPh>
    <phoneticPr fontId="3"/>
  </si>
  <si>
    <t>充足見込み時期</t>
    <rPh sb="0" eb="2">
      <t>ジュウソク</t>
    </rPh>
    <rPh sb="2" eb="4">
      <t>ミコ</t>
    </rPh>
    <rPh sb="5" eb="7">
      <t>ジキ</t>
    </rPh>
    <phoneticPr fontId="3"/>
  </si>
  <si>
    <t>北海道</t>
    <rPh sb="0" eb="2">
      <t>ホッカイ</t>
    </rPh>
    <rPh sb="2" eb="3">
      <t>ドウ</t>
    </rPh>
    <phoneticPr fontId="10"/>
  </si>
  <si>
    <t>青森県</t>
    <rPh sb="0" eb="3">
      <t>アオモリケン</t>
    </rPh>
    <phoneticPr fontId="10"/>
  </si>
  <si>
    <t>岩手県</t>
    <rPh sb="0" eb="2">
      <t>イワテ</t>
    </rPh>
    <rPh sb="2" eb="3">
      <t>ケン</t>
    </rPh>
    <phoneticPr fontId="10"/>
  </si>
  <si>
    <t>宮城県</t>
    <rPh sb="0" eb="2">
      <t>ミヤギ</t>
    </rPh>
    <rPh sb="2" eb="3">
      <t>ケン</t>
    </rPh>
    <phoneticPr fontId="10"/>
  </si>
  <si>
    <t>秋田県</t>
    <rPh sb="0" eb="3">
      <t>アキタケン</t>
    </rPh>
    <phoneticPr fontId="10"/>
  </si>
  <si>
    <t>山形県</t>
    <rPh sb="0" eb="3">
      <t>ヤマガタケン</t>
    </rPh>
    <phoneticPr fontId="10"/>
  </si>
  <si>
    <t>福島県</t>
    <rPh sb="0" eb="3">
      <t>フクシマケン</t>
    </rPh>
    <phoneticPr fontId="10"/>
  </si>
  <si>
    <t>茨城県</t>
    <rPh sb="0" eb="3">
      <t>イバラキケン</t>
    </rPh>
    <phoneticPr fontId="10"/>
  </si>
  <si>
    <t>栃木県</t>
    <rPh sb="0" eb="3">
      <t>トチギケン</t>
    </rPh>
    <phoneticPr fontId="10"/>
  </si>
  <si>
    <t>群馬県</t>
    <rPh sb="0" eb="3">
      <t>グンマケン</t>
    </rPh>
    <phoneticPr fontId="10"/>
  </si>
  <si>
    <t>埼玉県</t>
  </si>
  <si>
    <t>千葉県</t>
    <rPh sb="0" eb="2">
      <t>チバ</t>
    </rPh>
    <rPh sb="2" eb="3">
      <t>ケン</t>
    </rPh>
    <phoneticPr fontId="10"/>
  </si>
  <si>
    <t>東京都</t>
    <rPh sb="0" eb="3">
      <t>トウキョウト</t>
    </rPh>
    <phoneticPr fontId="10"/>
  </si>
  <si>
    <t>神奈川県</t>
    <rPh sb="0" eb="4">
      <t>カナガワケン</t>
    </rPh>
    <phoneticPr fontId="10"/>
  </si>
  <si>
    <t>新潟県</t>
    <rPh sb="0" eb="3">
      <t>ニイガタケン</t>
    </rPh>
    <phoneticPr fontId="10"/>
  </si>
  <si>
    <t>富山県</t>
    <rPh sb="0" eb="3">
      <t>トヤマケン</t>
    </rPh>
    <phoneticPr fontId="10"/>
  </si>
  <si>
    <t>石川県</t>
    <rPh sb="0" eb="2">
      <t>イシカワ</t>
    </rPh>
    <rPh sb="2" eb="3">
      <t>ケン</t>
    </rPh>
    <phoneticPr fontId="10"/>
  </si>
  <si>
    <t>福井県</t>
    <rPh sb="0" eb="3">
      <t>フクイケン</t>
    </rPh>
    <phoneticPr fontId="10"/>
  </si>
  <si>
    <t>山梨県</t>
    <rPh sb="0" eb="3">
      <t>ヤマナシケン</t>
    </rPh>
    <phoneticPr fontId="10"/>
  </si>
  <si>
    <t>長野県</t>
    <rPh sb="0" eb="3">
      <t>ナガノケン</t>
    </rPh>
    <phoneticPr fontId="10"/>
  </si>
  <si>
    <t>岐阜県</t>
    <rPh sb="0" eb="3">
      <t>ギフケン</t>
    </rPh>
    <phoneticPr fontId="10"/>
  </si>
  <si>
    <t>静岡県</t>
    <rPh sb="0" eb="2">
      <t>シズオカ</t>
    </rPh>
    <rPh sb="2" eb="3">
      <t>ケン</t>
    </rPh>
    <phoneticPr fontId="10"/>
  </si>
  <si>
    <t>愛知県</t>
    <rPh sb="0" eb="3">
      <t>アイチケン</t>
    </rPh>
    <phoneticPr fontId="10"/>
  </si>
  <si>
    <t>三重県</t>
    <rPh sb="0" eb="2">
      <t>ミエ</t>
    </rPh>
    <rPh sb="2" eb="3">
      <t>ケン</t>
    </rPh>
    <phoneticPr fontId="10"/>
  </si>
  <si>
    <t>滋賀県</t>
    <rPh sb="0" eb="3">
      <t>シガケン</t>
    </rPh>
    <phoneticPr fontId="10"/>
  </si>
  <si>
    <t>京都府</t>
    <rPh sb="0" eb="3">
      <t>キョウトフ</t>
    </rPh>
    <phoneticPr fontId="10"/>
  </si>
  <si>
    <t>大阪府</t>
    <rPh sb="0" eb="3">
      <t>オオサカフ</t>
    </rPh>
    <phoneticPr fontId="10"/>
  </si>
  <si>
    <t>兵庫県</t>
    <rPh sb="0" eb="3">
      <t>ヒョウゴケン</t>
    </rPh>
    <phoneticPr fontId="10"/>
  </si>
  <si>
    <t>奈良県</t>
    <rPh sb="0" eb="3">
      <t>ナラケン</t>
    </rPh>
    <phoneticPr fontId="10"/>
  </si>
  <si>
    <t>和歌山県</t>
    <rPh sb="0" eb="4">
      <t>ワカヤマケン</t>
    </rPh>
    <phoneticPr fontId="10"/>
  </si>
  <si>
    <t>鳥取県</t>
    <rPh sb="0" eb="3">
      <t>トットリケン</t>
    </rPh>
    <phoneticPr fontId="10"/>
  </si>
  <si>
    <t>島根県</t>
    <rPh sb="0" eb="3">
      <t>シマネケン</t>
    </rPh>
    <phoneticPr fontId="10"/>
  </si>
  <si>
    <t>岡山県</t>
    <rPh sb="0" eb="3">
      <t>オカヤマケン</t>
    </rPh>
    <phoneticPr fontId="10"/>
  </si>
  <si>
    <t>広島県</t>
    <rPh sb="0" eb="3">
      <t>ヒロシマケン</t>
    </rPh>
    <phoneticPr fontId="10"/>
  </si>
  <si>
    <t>山口県</t>
    <rPh sb="0" eb="3">
      <t>ヤマグチケン</t>
    </rPh>
    <phoneticPr fontId="10"/>
  </si>
  <si>
    <t>徳島県</t>
    <rPh sb="0" eb="3">
      <t>トクシマケン</t>
    </rPh>
    <phoneticPr fontId="10"/>
  </si>
  <si>
    <t>香川県</t>
    <rPh sb="0" eb="3">
      <t>カガワケン</t>
    </rPh>
    <phoneticPr fontId="10"/>
  </si>
  <si>
    <t>愛媛県</t>
    <rPh sb="0" eb="3">
      <t>エヒメケン</t>
    </rPh>
    <phoneticPr fontId="10"/>
  </si>
  <si>
    <t>高知県</t>
    <rPh sb="0" eb="3">
      <t>コウチケン</t>
    </rPh>
    <phoneticPr fontId="10"/>
  </si>
  <si>
    <t>福岡県</t>
    <rPh sb="0" eb="3">
      <t>フクオカケン</t>
    </rPh>
    <phoneticPr fontId="10"/>
  </si>
  <si>
    <t>佐賀県</t>
    <rPh sb="0" eb="3">
      <t>サガケン</t>
    </rPh>
    <phoneticPr fontId="10"/>
  </si>
  <si>
    <t>長崎県</t>
    <rPh sb="0" eb="3">
      <t>ナガサキケン</t>
    </rPh>
    <phoneticPr fontId="10"/>
  </si>
  <si>
    <t>熊本県</t>
    <rPh sb="0" eb="3">
      <t>クマモトケン</t>
    </rPh>
    <phoneticPr fontId="10"/>
  </si>
  <si>
    <t>大分県</t>
    <rPh sb="0" eb="3">
      <t>オオイタケン</t>
    </rPh>
    <phoneticPr fontId="10"/>
  </si>
  <si>
    <t>宮崎県</t>
    <rPh sb="0" eb="3">
      <t>ミヤザキケン</t>
    </rPh>
    <phoneticPr fontId="10"/>
  </si>
  <si>
    <t>鹿児島県</t>
    <rPh sb="0" eb="4">
      <t>カゴシマケン</t>
    </rPh>
    <phoneticPr fontId="10"/>
  </si>
  <si>
    <t>沖縄県</t>
    <rPh sb="0" eb="3">
      <t>オキナワケン</t>
    </rPh>
    <phoneticPr fontId="10"/>
  </si>
  <si>
    <t>がん診療連携拠点病院等　現況報告書の入力について
以下をご注意ください。</t>
    <rPh sb="2" eb="4">
      <t>シンリョウ</t>
    </rPh>
    <rPh sb="4" eb="6">
      <t>レンケイ</t>
    </rPh>
    <rPh sb="6" eb="8">
      <t>キョテン</t>
    </rPh>
    <rPh sb="8" eb="10">
      <t>ビョウイン</t>
    </rPh>
    <rPh sb="10" eb="11">
      <t>トウ</t>
    </rPh>
    <rPh sb="12" eb="14">
      <t>ゲンキョウ</t>
    </rPh>
    <rPh sb="14" eb="17">
      <t>ホウコクショ</t>
    </rPh>
    <rPh sb="18" eb="20">
      <t>ニュウリョク</t>
    </rPh>
    <rPh sb="25" eb="27">
      <t>イカ</t>
    </rPh>
    <rPh sb="29" eb="31">
      <t>チュウイ</t>
    </rPh>
    <phoneticPr fontId="10"/>
  </si>
  <si>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10"/>
  </si>
  <si>
    <t>■</t>
    <phoneticPr fontId="10"/>
  </si>
  <si>
    <t>以下のような行為はデータ抽出時に不具合を起こす原因となります。</t>
    <rPh sb="12" eb="14">
      <t>チュウシュツ</t>
    </rPh>
    <rPh sb="14" eb="15">
      <t>ジ</t>
    </rPh>
    <rPh sb="16" eb="19">
      <t>フグアイ</t>
    </rPh>
    <rPh sb="20" eb="21">
      <t>オコ</t>
    </rPh>
    <rPh sb="23" eb="25">
      <t>ゲンイン</t>
    </rPh>
    <phoneticPr fontId="10"/>
  </si>
  <si>
    <t>・行や列の挿入や削除</t>
    <rPh sb="1" eb="2">
      <t>ギョウ</t>
    </rPh>
    <rPh sb="3" eb="4">
      <t>レツ</t>
    </rPh>
    <rPh sb="5" eb="7">
      <t>ソウニュウ</t>
    </rPh>
    <rPh sb="8" eb="10">
      <t>サクジョ</t>
    </rPh>
    <phoneticPr fontId="10"/>
  </si>
  <si>
    <t>・基本フォーマットと異なるセルの貼り付け</t>
    <rPh sb="1" eb="3">
      <t>キホン</t>
    </rPh>
    <rPh sb="10" eb="11">
      <t>コト</t>
    </rPh>
    <rPh sb="16" eb="17">
      <t>ハ</t>
    </rPh>
    <rPh sb="18" eb="19">
      <t>ツ</t>
    </rPh>
    <phoneticPr fontId="10"/>
  </si>
  <si>
    <t>・シート名の変更</t>
    <rPh sb="4" eb="5">
      <t>メイ</t>
    </rPh>
    <rPh sb="6" eb="8">
      <t>ヘンコウ</t>
    </rPh>
    <phoneticPr fontId="10"/>
  </si>
  <si>
    <r>
      <t>・シートの</t>
    </r>
    <r>
      <rPr>
        <sz val="11"/>
        <rFont val="ＭＳ Ｐゴシック"/>
        <family val="3"/>
        <charset val="128"/>
      </rPr>
      <t>コピー・移動・挿入・削除</t>
    </r>
    <rPh sb="9" eb="11">
      <t>イドウ</t>
    </rPh>
    <rPh sb="12" eb="14">
      <t>ソウニュウ</t>
    </rPh>
    <rPh sb="15" eb="17">
      <t>サクジョ</t>
    </rPh>
    <phoneticPr fontId="10"/>
  </si>
  <si>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10"/>
  </si>
  <si>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10"/>
  </si>
  <si>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10"/>
  </si>
  <si>
    <t>提出前に不備がないか確認してください。</t>
    <phoneticPr fontId="10"/>
  </si>
  <si>
    <t>表紙や各シートで入力チェック欄を設けています。</t>
    <rPh sb="0" eb="2">
      <t>ヒョウシ</t>
    </rPh>
    <rPh sb="3" eb="4">
      <t>カク</t>
    </rPh>
    <rPh sb="8" eb="10">
      <t>ニュウリョク</t>
    </rPh>
    <rPh sb="14" eb="15">
      <t>ラン</t>
    </rPh>
    <rPh sb="16" eb="17">
      <t>モウ</t>
    </rPh>
    <phoneticPr fontId="10"/>
  </si>
  <si>
    <t>□</t>
    <phoneticPr fontId="10"/>
  </si>
  <si>
    <t>入力チェック欄を機能させるために</t>
    <phoneticPr fontId="10"/>
  </si>
  <si>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10"/>
  </si>
  <si>
    <r>
      <t>・「様式4（全般事項）」シートの「１．推薦区分」で、</t>
    </r>
    <r>
      <rPr>
        <u/>
        <sz val="11"/>
        <color indexed="8"/>
        <rFont val="ＭＳ Ｐゴシック"/>
        <family val="3"/>
        <charset val="128"/>
      </rPr>
      <t>がん診療連携拠点病院等の選択</t>
    </r>
    <r>
      <rPr>
        <sz val="11"/>
        <color indexed="8"/>
        <rFont val="ＭＳ Ｐゴシック"/>
        <family val="3"/>
        <charset val="128"/>
      </rPr>
      <t>と</t>
    </r>
    <r>
      <rPr>
        <u/>
        <sz val="11"/>
        <color indexed="8"/>
        <rFont val="ＭＳ Ｐゴシック"/>
        <family val="3"/>
        <charset val="128"/>
      </rPr>
      <t>特定機能病院の承認の選択</t>
    </r>
    <r>
      <rPr>
        <sz val="11"/>
        <color indexed="8"/>
        <rFont val="ＭＳ Ｐゴシック"/>
        <family val="3"/>
        <charset val="128"/>
      </rPr>
      <t>をしてください。</t>
    </r>
    <rPh sb="2" eb="4">
      <t>ヨウシキ</t>
    </rPh>
    <rPh sb="6" eb="8">
      <t>ゼンパン</t>
    </rPh>
    <rPh sb="8" eb="10">
      <t>ジコウ</t>
    </rPh>
    <rPh sb="19" eb="21">
      <t>スイセン</t>
    </rPh>
    <rPh sb="21" eb="23">
      <t>クブン</t>
    </rPh>
    <rPh sb="28" eb="30">
      <t>シンリョウ</t>
    </rPh>
    <rPh sb="30" eb="32">
      <t>レンケイ</t>
    </rPh>
    <rPh sb="32" eb="34">
      <t>キョテン</t>
    </rPh>
    <rPh sb="34" eb="36">
      <t>ビョウイン</t>
    </rPh>
    <rPh sb="36" eb="37">
      <t>ナド</t>
    </rPh>
    <rPh sb="38" eb="40">
      <t>センタク</t>
    </rPh>
    <rPh sb="41" eb="43">
      <t>トクテイ</t>
    </rPh>
    <rPh sb="43" eb="45">
      <t>キノウ</t>
    </rPh>
    <rPh sb="45" eb="47">
      <t>ビョウイン</t>
    </rPh>
    <rPh sb="48" eb="50">
      <t>ショウニン</t>
    </rPh>
    <rPh sb="51" eb="53">
      <t>センタク</t>
    </rPh>
    <phoneticPr fontId="10"/>
  </si>
  <si>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10"/>
  </si>
  <si>
    <t>表紙</t>
    <phoneticPr fontId="10"/>
  </si>
  <si>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10"/>
  </si>
  <si>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10"/>
  </si>
  <si>
    <t>※提出前には表紙を見て、「未入力」の文字がないか、別添ファイルの添付漏れがないか、確認をしてください。</t>
    <phoneticPr fontId="10"/>
  </si>
  <si>
    <t>各シート</t>
    <phoneticPr fontId="10"/>
  </si>
  <si>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10"/>
  </si>
  <si>
    <t>・様式４（機能別）では、一部、回答によって、その後に続く項目が「必須」等か「要件に該当なし」かが自動的に設定される箇所があります（「Ａ（またはB、C）／-」となっている箇所です）。</t>
    <rPh sb="1" eb="3">
      <t>ヨウシキ</t>
    </rPh>
    <rPh sb="5" eb="7">
      <t>キノウ</t>
    </rPh>
    <rPh sb="7" eb="8">
      <t>ベツ</t>
    </rPh>
    <phoneticPr fontId="10"/>
  </si>
  <si>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10"/>
  </si>
  <si>
    <t>自由記載</t>
    <rPh sb="0" eb="2">
      <t>ジユウ</t>
    </rPh>
    <rPh sb="2" eb="4">
      <t>キサイ</t>
    </rPh>
    <phoneticPr fontId="10"/>
  </si>
  <si>
    <t>数値入力</t>
    <rPh sb="0" eb="2">
      <t>スウチ</t>
    </rPh>
    <rPh sb="2" eb="4">
      <t>ニュウリョク</t>
    </rPh>
    <phoneticPr fontId="10"/>
  </si>
  <si>
    <t>選択肢から入力</t>
    <rPh sb="0" eb="3">
      <t>センタクシ</t>
    </rPh>
    <rPh sb="5" eb="7">
      <t>ニュウリョク</t>
    </rPh>
    <phoneticPr fontId="10"/>
  </si>
  <si>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10"/>
  </si>
  <si>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10"/>
  </si>
  <si>
    <t>別添ファイル</t>
    <rPh sb="0" eb="2">
      <t>ベッテン</t>
    </rPh>
    <phoneticPr fontId="10"/>
  </si>
  <si>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10"/>
  </si>
  <si>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10"/>
  </si>
  <si>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10"/>
  </si>
  <si>
    <t>＜推薦書：提出資料一覧＞</t>
    <rPh sb="1" eb="4">
      <t>スイセンショ</t>
    </rPh>
    <rPh sb="5" eb="7">
      <t>テイシュツ</t>
    </rPh>
    <rPh sb="7" eb="9">
      <t>シリョウ</t>
    </rPh>
    <rPh sb="9" eb="11">
      <t>イチラン</t>
    </rPh>
    <phoneticPr fontId="10"/>
  </si>
  <si>
    <t>病院名（正式名称）</t>
    <rPh sb="0" eb="2">
      <t>ビョウイン</t>
    </rPh>
    <rPh sb="4" eb="6">
      <t>セイシキ</t>
    </rPh>
    <rPh sb="6" eb="8">
      <t>メイショウ</t>
    </rPh>
    <phoneticPr fontId="10"/>
  </si>
  <si>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0"/>
  </si>
  <si>
    <r>
      <t>がん診療連携拠点病院等の</t>
    </r>
    <r>
      <rPr>
        <sz val="11"/>
        <rFont val="ＭＳ Ｐゴシック"/>
        <family val="3"/>
        <charset val="128"/>
      </rPr>
      <t>推薦区分</t>
    </r>
    <rPh sb="12" eb="14">
      <t>スイセン</t>
    </rPh>
    <phoneticPr fontId="10"/>
  </si>
  <si>
    <t>入力済／未入力あり</t>
    <rPh sb="0" eb="2">
      <t>ニュウリョク</t>
    </rPh>
    <rPh sb="2" eb="3">
      <t>ス</t>
    </rPh>
    <rPh sb="4" eb="7">
      <t>ミニュウリョク</t>
    </rPh>
    <phoneticPr fontId="10"/>
  </si>
  <si>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10"/>
  </si>
  <si>
    <t>様式3</t>
    <rPh sb="0" eb="2">
      <t>ヨウシキ</t>
    </rPh>
    <phoneticPr fontId="10"/>
  </si>
  <si>
    <t>連絡先</t>
    <rPh sb="0" eb="2">
      <t>レンラク</t>
    </rPh>
    <rPh sb="2" eb="3">
      <t>サキ</t>
    </rPh>
    <phoneticPr fontId="10"/>
  </si>
  <si>
    <t>様式4</t>
    <rPh sb="0" eb="2">
      <t>ヨウシキ</t>
    </rPh>
    <phoneticPr fontId="10"/>
  </si>
  <si>
    <t>全般事項</t>
    <rPh sb="0" eb="2">
      <t>ゼンパン</t>
    </rPh>
    <rPh sb="2" eb="4">
      <t>ジコウ</t>
    </rPh>
    <phoneticPr fontId="10"/>
  </si>
  <si>
    <t>機能別</t>
    <rPh sb="0" eb="2">
      <t>キノウ</t>
    </rPh>
    <rPh sb="2" eb="3">
      <t>ベツ</t>
    </rPh>
    <phoneticPr fontId="10"/>
  </si>
  <si>
    <t>【添付資料】</t>
    <rPh sb="1" eb="3">
      <t>テンプ</t>
    </rPh>
    <rPh sb="3" eb="5">
      <t>シリョウ</t>
    </rPh>
    <phoneticPr fontId="10"/>
  </si>
  <si>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10"/>
  </si>
  <si>
    <t>入力済／未入力あり／不要</t>
    <rPh sb="0" eb="2">
      <t>ニュウリョク</t>
    </rPh>
    <rPh sb="2" eb="3">
      <t>ス</t>
    </rPh>
    <rPh sb="4" eb="7">
      <t>ミニュウリョク</t>
    </rPh>
    <rPh sb="10" eb="12">
      <t>フヨウ</t>
    </rPh>
    <phoneticPr fontId="10"/>
  </si>
  <si>
    <t>別添資料
有無</t>
    <rPh sb="0" eb="2">
      <t>ベッテン</t>
    </rPh>
    <rPh sb="2" eb="4">
      <t>シリョウ</t>
    </rPh>
    <rPh sb="5" eb="7">
      <t>ウム</t>
    </rPh>
    <phoneticPr fontId="10"/>
  </si>
  <si>
    <t>資料番号</t>
    <rPh sb="0" eb="2">
      <t>シリョウ</t>
    </rPh>
    <rPh sb="2" eb="4">
      <t>バンゴウ</t>
    </rPh>
    <phoneticPr fontId="10"/>
  </si>
  <si>
    <t>対象</t>
    <rPh sb="0" eb="2">
      <t>タイショウ</t>
    </rPh>
    <phoneticPr fontId="10"/>
  </si>
  <si>
    <t>内容</t>
    <rPh sb="0" eb="1">
      <t>ウチ</t>
    </rPh>
    <rPh sb="1" eb="2">
      <t>カタチ</t>
    </rPh>
    <phoneticPr fontId="10"/>
  </si>
  <si>
    <t>本体ファイル</t>
    <rPh sb="0" eb="2">
      <t>ホンタイ</t>
    </rPh>
    <phoneticPr fontId="10"/>
  </si>
  <si>
    <t>別紙1</t>
    <rPh sb="0" eb="2">
      <t>ベッシ</t>
    </rPh>
    <phoneticPr fontId="10"/>
  </si>
  <si>
    <t>未充足要件がある施設のみ</t>
    <rPh sb="0" eb="3">
      <t>ミジュウソク</t>
    </rPh>
    <rPh sb="3" eb="5">
      <t>ヨウケン</t>
    </rPh>
    <rPh sb="8" eb="10">
      <t>シセツ</t>
    </rPh>
    <phoneticPr fontId="10"/>
  </si>
  <si>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10"/>
  </si>
  <si>
    <t>別紙2</t>
    <rPh sb="0" eb="2">
      <t>ベッシ</t>
    </rPh>
    <phoneticPr fontId="10"/>
  </si>
  <si>
    <t>全ての施設</t>
    <rPh sb="0" eb="1">
      <t>スベ</t>
    </rPh>
    <rPh sb="3" eb="5">
      <t>シセツ</t>
    </rPh>
    <phoneticPr fontId="10"/>
  </si>
  <si>
    <t>専門とするがんの診療状況</t>
    <rPh sb="0" eb="2">
      <t>センモン</t>
    </rPh>
    <rPh sb="8" eb="10">
      <t>シンリョウ</t>
    </rPh>
    <rPh sb="10" eb="12">
      <t>ジョウキョウ</t>
    </rPh>
    <phoneticPr fontId="10"/>
  </si>
  <si>
    <t>別紙3</t>
    <rPh sb="0" eb="2">
      <t>ベッシ</t>
    </rPh>
    <phoneticPr fontId="10"/>
  </si>
  <si>
    <t>我が国に多いがんに対して、自施設で対応しない診療内容</t>
    <phoneticPr fontId="10"/>
  </si>
  <si>
    <t>別紙4</t>
    <rPh sb="0" eb="2">
      <t>ベッシ</t>
    </rPh>
    <phoneticPr fontId="10"/>
  </si>
  <si>
    <t>カンファレンス</t>
    <phoneticPr fontId="10"/>
  </si>
  <si>
    <t>別紙5</t>
    <rPh sb="0" eb="2">
      <t>ベッシ</t>
    </rPh>
    <phoneticPr fontId="10"/>
  </si>
  <si>
    <t>緩和ケア外来の状況</t>
    <rPh sb="0" eb="2">
      <t>カンワ</t>
    </rPh>
    <rPh sb="4" eb="6">
      <t>ガイライ</t>
    </rPh>
    <rPh sb="7" eb="9">
      <t>ジョウキョウ</t>
    </rPh>
    <phoneticPr fontId="10"/>
  </si>
  <si>
    <t>別紙6</t>
    <rPh sb="0" eb="2">
      <t>ベッシ</t>
    </rPh>
    <phoneticPr fontId="10"/>
  </si>
  <si>
    <t>緩和ケア病棟</t>
    <rPh sb="0" eb="2">
      <t>カンワ</t>
    </rPh>
    <rPh sb="4" eb="6">
      <t>ビョウトウ</t>
    </rPh>
    <phoneticPr fontId="10"/>
  </si>
  <si>
    <t>別紙7</t>
    <rPh sb="0" eb="2">
      <t>ベッシ</t>
    </rPh>
    <phoneticPr fontId="10"/>
  </si>
  <si>
    <t>地域緩和ケア連携体制</t>
    <rPh sb="0" eb="2">
      <t>チイキ</t>
    </rPh>
    <rPh sb="2" eb="4">
      <t>カンワ</t>
    </rPh>
    <rPh sb="6" eb="8">
      <t>レンケイ</t>
    </rPh>
    <rPh sb="8" eb="10">
      <t>タイセイ</t>
    </rPh>
    <phoneticPr fontId="10"/>
  </si>
  <si>
    <t>別紙8</t>
    <rPh sb="0" eb="2">
      <t>ベッシ</t>
    </rPh>
    <phoneticPr fontId="10"/>
  </si>
  <si>
    <t>別紙8緩和ケアメンバーと活動</t>
    <rPh sb="0" eb="2">
      <t>ベッシ</t>
    </rPh>
    <rPh sb="3" eb="5">
      <t>カンワ</t>
    </rPh>
    <rPh sb="12" eb="14">
      <t>カツドウ</t>
    </rPh>
    <phoneticPr fontId="10"/>
  </si>
  <si>
    <t>別紙9</t>
    <rPh sb="0" eb="2">
      <t>ベッシ</t>
    </rPh>
    <phoneticPr fontId="10"/>
  </si>
  <si>
    <t>インターネット環境の整備状況</t>
    <rPh sb="7" eb="9">
      <t>カンキョウ</t>
    </rPh>
    <rPh sb="10" eb="12">
      <t>セイビ</t>
    </rPh>
    <rPh sb="12" eb="14">
      <t>ジョウキョウ</t>
    </rPh>
    <phoneticPr fontId="10"/>
  </si>
  <si>
    <t>別紙10</t>
    <rPh sb="0" eb="2">
      <t>ベッシ</t>
    </rPh>
    <phoneticPr fontId="10"/>
  </si>
  <si>
    <t>患者の特性に応じた支援</t>
    <rPh sb="0" eb="2">
      <t>カンジャ</t>
    </rPh>
    <rPh sb="3" eb="5">
      <t>トクセイ</t>
    </rPh>
    <rPh sb="6" eb="7">
      <t>オウ</t>
    </rPh>
    <rPh sb="9" eb="11">
      <t>シエン</t>
    </rPh>
    <phoneticPr fontId="10"/>
  </si>
  <si>
    <t>別紙11</t>
    <rPh sb="0" eb="2">
      <t>ベッシ</t>
    </rPh>
    <phoneticPr fontId="10"/>
  </si>
  <si>
    <t>がん相談支援に関する内容</t>
    <rPh sb="2" eb="4">
      <t>ソウダン</t>
    </rPh>
    <rPh sb="4" eb="6">
      <t>シエン</t>
    </rPh>
    <rPh sb="7" eb="8">
      <t>カン</t>
    </rPh>
    <rPh sb="10" eb="12">
      <t>ナイヨウ</t>
    </rPh>
    <phoneticPr fontId="10"/>
  </si>
  <si>
    <t>別紙12</t>
    <rPh sb="0" eb="2">
      <t>ベッシ</t>
    </rPh>
    <phoneticPr fontId="10"/>
  </si>
  <si>
    <t>がん相談支援センターの問い合わせ窓口</t>
    <phoneticPr fontId="10"/>
  </si>
  <si>
    <t>別紙13</t>
    <rPh sb="0" eb="2">
      <t>ベッシ</t>
    </rPh>
    <phoneticPr fontId="10"/>
  </si>
  <si>
    <t>がん相談支援センターの体制</t>
    <phoneticPr fontId="10"/>
  </si>
  <si>
    <t>別紙14</t>
    <rPh sb="0" eb="2">
      <t>ベッシ</t>
    </rPh>
    <phoneticPr fontId="10"/>
  </si>
  <si>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0"/>
  </si>
  <si>
    <t>別紙15</t>
    <rPh sb="0" eb="2">
      <t>ベッシ</t>
    </rPh>
    <phoneticPr fontId="10"/>
  </si>
  <si>
    <t>がんの診療に関連した専門外来の問い合わせ窓口</t>
    <phoneticPr fontId="10"/>
  </si>
  <si>
    <t>別紙16</t>
    <rPh sb="0" eb="2">
      <t>ベッシ</t>
    </rPh>
    <phoneticPr fontId="10"/>
  </si>
  <si>
    <t>院内がん登録部門の体制</t>
    <phoneticPr fontId="10"/>
  </si>
  <si>
    <t>別紙17</t>
    <rPh sb="0" eb="2">
      <t>ベッシ</t>
    </rPh>
    <phoneticPr fontId="10"/>
  </si>
  <si>
    <t>臨床試験・治験に関する窓口</t>
    <rPh sb="0" eb="2">
      <t>リンショウ</t>
    </rPh>
    <rPh sb="2" eb="4">
      <t>シケン</t>
    </rPh>
    <rPh sb="5" eb="7">
      <t>チケン</t>
    </rPh>
    <rPh sb="8" eb="9">
      <t>カン</t>
    </rPh>
    <rPh sb="11" eb="13">
      <t>マドグチ</t>
    </rPh>
    <phoneticPr fontId="10"/>
  </si>
  <si>
    <t>別紙18</t>
    <rPh sb="0" eb="2">
      <t>ベッシ</t>
    </rPh>
    <phoneticPr fontId="10"/>
  </si>
  <si>
    <t>政策的公衆衛生的に必要性の高い調査研究に対応する窓口</t>
    <phoneticPr fontId="10"/>
  </si>
  <si>
    <t>別紙19</t>
    <rPh sb="0" eb="2">
      <t>ベッシ</t>
    </rPh>
    <phoneticPr fontId="10"/>
  </si>
  <si>
    <t>チーム医療の提供体制</t>
    <rPh sb="3" eb="5">
      <t>イリョウ</t>
    </rPh>
    <rPh sb="6" eb="10">
      <t>テイキョウタイセイ</t>
    </rPh>
    <phoneticPr fontId="10"/>
  </si>
  <si>
    <t>別紙20</t>
    <rPh sb="0" eb="2">
      <t>ベッシ</t>
    </rPh>
    <phoneticPr fontId="10"/>
  </si>
  <si>
    <t>医療安全管理・第三者評価の状況</t>
    <rPh sb="0" eb="2">
      <t>イリョウ</t>
    </rPh>
    <rPh sb="2" eb="4">
      <t>アンゼン</t>
    </rPh>
    <rPh sb="4" eb="6">
      <t>カンリ</t>
    </rPh>
    <rPh sb="7" eb="10">
      <t>ダイサンシャ</t>
    </rPh>
    <rPh sb="10" eb="12">
      <t>ヒョウカ</t>
    </rPh>
    <rPh sb="13" eb="15">
      <t>ジョウキョウ</t>
    </rPh>
    <phoneticPr fontId="10"/>
  </si>
  <si>
    <t>別紙21</t>
    <rPh sb="0" eb="2">
      <t>ベッシ</t>
    </rPh>
    <phoneticPr fontId="10"/>
  </si>
  <si>
    <t>緩和ケアセンターのメンバー</t>
    <rPh sb="0" eb="2">
      <t>カンワ</t>
    </rPh>
    <phoneticPr fontId="10"/>
  </si>
  <si>
    <t>別紙22</t>
    <rPh sb="0" eb="2">
      <t>ベッシ</t>
    </rPh>
    <phoneticPr fontId="10"/>
  </si>
  <si>
    <t>特定領域がん診療連携拠点病院のみ</t>
    <rPh sb="0" eb="2">
      <t>トクテイ</t>
    </rPh>
    <rPh sb="2" eb="4">
      <t>リョウイキ</t>
    </rPh>
    <rPh sb="6" eb="8">
      <t>シンリョウ</t>
    </rPh>
    <rPh sb="8" eb="10">
      <t>レンケイ</t>
    </rPh>
    <rPh sb="10" eb="12">
      <t>キョテン</t>
    </rPh>
    <rPh sb="12" eb="14">
      <t>ビョウイン</t>
    </rPh>
    <phoneticPr fontId="10"/>
  </si>
  <si>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10"/>
  </si>
  <si>
    <t>別紙23</t>
    <rPh sb="0" eb="2">
      <t>ベッシ</t>
    </rPh>
    <phoneticPr fontId="10"/>
  </si>
  <si>
    <t>がん診療連携拠点病院等との連携診療体制について</t>
    <phoneticPr fontId="10"/>
  </si>
  <si>
    <t>別紙24</t>
    <rPh sb="0" eb="2">
      <t>ベッシ</t>
    </rPh>
    <phoneticPr fontId="10"/>
  </si>
  <si>
    <t>特定領域がん診療連携拠点病院の人材交流について</t>
    <phoneticPr fontId="10"/>
  </si>
  <si>
    <t>別紙25</t>
    <rPh sb="0" eb="2">
      <t>ベッシ</t>
    </rPh>
    <phoneticPr fontId="10"/>
  </si>
  <si>
    <t>地域がん診療病院のみ※</t>
    <rPh sb="0" eb="2">
      <t>チイキ</t>
    </rPh>
    <rPh sb="4" eb="6">
      <t>シンリョウ</t>
    </rPh>
    <rPh sb="6" eb="8">
      <t>ビョウイン</t>
    </rPh>
    <phoneticPr fontId="10"/>
  </si>
  <si>
    <t>グループ指定の状況</t>
    <phoneticPr fontId="10"/>
  </si>
  <si>
    <t>別紙26</t>
    <rPh sb="0" eb="2">
      <t>ベッシ</t>
    </rPh>
    <phoneticPr fontId="10"/>
  </si>
  <si>
    <t>グループ間の人材交流計画について</t>
    <phoneticPr fontId="10"/>
  </si>
  <si>
    <t>別紙27</t>
    <rPh sb="0" eb="2">
      <t>ベッシ</t>
    </rPh>
    <phoneticPr fontId="10"/>
  </si>
  <si>
    <t>地域がん診療病院とグループ指定を受ける施設のみ※</t>
    <rPh sb="0" eb="2">
      <t>チイキ</t>
    </rPh>
    <rPh sb="4" eb="6">
      <t>シンリョウ</t>
    </rPh>
    <rPh sb="6" eb="8">
      <t>ビョウイン</t>
    </rPh>
    <rPh sb="13" eb="15">
      <t>シテイ</t>
    </rPh>
    <rPh sb="16" eb="17">
      <t>ウ</t>
    </rPh>
    <rPh sb="19" eb="21">
      <t>シセツ</t>
    </rPh>
    <phoneticPr fontId="10"/>
  </si>
  <si>
    <t>別紙28</t>
    <rPh sb="0" eb="2">
      <t>ベッシ</t>
    </rPh>
    <phoneticPr fontId="10"/>
  </si>
  <si>
    <t>都道府県がん診療連携拠点病院のみ※</t>
    <rPh sb="0" eb="4">
      <t>トドウフケン</t>
    </rPh>
    <rPh sb="6" eb="8">
      <t>シンリョウ</t>
    </rPh>
    <rPh sb="8" eb="10">
      <t>レンケイ</t>
    </rPh>
    <rPh sb="10" eb="12">
      <t>キョテン</t>
    </rPh>
    <rPh sb="12" eb="14">
      <t>ビョウイン</t>
    </rPh>
    <phoneticPr fontId="10"/>
  </si>
  <si>
    <t>都道府県協議会の内容</t>
    <phoneticPr fontId="10"/>
  </si>
  <si>
    <t>別紙29</t>
    <rPh sb="0" eb="2">
      <t>ベッシ</t>
    </rPh>
    <phoneticPr fontId="10"/>
  </si>
  <si>
    <t>歯科との連携</t>
    <rPh sb="0" eb="2">
      <t>シカ</t>
    </rPh>
    <rPh sb="4" eb="6">
      <t>レンケイ</t>
    </rPh>
    <phoneticPr fontId="10"/>
  </si>
  <si>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10"/>
  </si>
  <si>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</si>
  <si>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印刷範囲外</t>
    <rPh sb="0" eb="2">
      <t>インサツ</t>
    </rPh>
    <rPh sb="2" eb="4">
      <t>ハンイ</t>
    </rPh>
    <rPh sb="4" eb="5">
      <t>ガイ</t>
    </rPh>
    <phoneticPr fontId="10"/>
  </si>
  <si>
    <t>がん診療連携拠点病院等　現況報告書</t>
    <phoneticPr fontId="10"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</si>
  <si>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</si>
  <si>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１．推薦区分</t>
  </si>
  <si>
    <t>現行の指定区分</t>
    <rPh sb="0" eb="2">
      <t>げんこう</t>
    </rPh>
    <rPh sb="3" eb="5">
      <t>してい</t>
    </rPh>
    <rPh sb="5" eb="6">
      <t>く</t>
    </rPh>
    <rPh sb="6" eb="7">
      <t>ぶん</t>
    </rPh>
    <phoneticPr fontId="10" type="Hiragana"/>
  </si>
  <si>
    <t>特定機能病院の承認</t>
    <phoneticPr fontId="10"/>
  </si>
  <si>
    <t>（承認あり／承認なし）</t>
    <phoneticPr fontId="10"/>
  </si>
  <si>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</si>
  <si>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10" type="Hiragana"/>
  </si>
  <si>
    <t>※令和７年４月１日以降の指定更新を希望しない施設においては、Ｋ５セルで「指定辞退」を選択してください。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10" type="Hiragana"/>
  </si>
  <si>
    <t>２．病院概要</t>
    <rPh sb="2" eb="4">
      <t>ビョウイン</t>
    </rPh>
    <rPh sb="4" eb="6">
      <t>ガイヨウ</t>
    </rPh>
    <phoneticPr fontId="10"/>
  </si>
  <si>
    <t>(1)病院名　(表紙シートの病院名を反映）</t>
    <rPh sb="3" eb="5">
      <t>ビョウイン</t>
    </rPh>
    <rPh sb="5" eb="6">
      <t>メイ</t>
    </rPh>
    <rPh sb="8" eb="10">
      <t>ヒョウシ</t>
    </rPh>
    <rPh sb="14" eb="16">
      <t>ビョウイン</t>
    </rPh>
    <rPh sb="16" eb="17">
      <t>メイ</t>
    </rPh>
    <rPh sb="18" eb="20">
      <t>ハンエイ</t>
    </rPh>
    <phoneticPr fontId="10"/>
  </si>
  <si>
    <t>よみがな</t>
    <phoneticPr fontId="10"/>
  </si>
  <si>
    <t>(2)所在地等</t>
    <rPh sb="6" eb="7">
      <t>トウ</t>
    </rPh>
    <phoneticPr fontId="10"/>
  </si>
  <si>
    <t>郵便番号</t>
    <rPh sb="0" eb="2">
      <t>ユウビン</t>
    </rPh>
    <rPh sb="2" eb="4">
      <t>バンゴウ</t>
    </rPh>
    <phoneticPr fontId="10"/>
  </si>
  <si>
    <t>〒</t>
    <phoneticPr fontId="10" type="Hiragana"/>
  </si>
  <si>
    <t>住所</t>
  </si>
  <si>
    <t>電話番号（代表）</t>
    <rPh sb="0" eb="2">
      <t>デンワ</t>
    </rPh>
    <rPh sb="2" eb="4">
      <t>バンゴウ</t>
    </rPh>
    <rPh sb="5" eb="7">
      <t>ダイヒョウ</t>
    </rPh>
    <phoneticPr fontId="10"/>
  </si>
  <si>
    <t>FAX番号（代表）</t>
    <rPh sb="3" eb="5">
      <t>バンゴウ</t>
    </rPh>
    <rPh sb="6" eb="8">
      <t>ダイヒョウ</t>
    </rPh>
    <phoneticPr fontId="10"/>
  </si>
  <si>
    <t>e-mail（代表）</t>
    <rPh sb="7" eb="9">
      <t>ダイヒョウ</t>
    </rPh>
    <phoneticPr fontId="10"/>
  </si>
  <si>
    <t>HPアドレス</t>
    <phoneticPr fontId="10"/>
  </si>
  <si>
    <t>所属するがん医療圏</t>
    <rPh sb="0" eb="2">
      <t>ショゾク</t>
    </rPh>
    <rPh sb="6" eb="8">
      <t>イリョウ</t>
    </rPh>
    <rPh sb="8" eb="9">
      <t>ケン</t>
    </rPh>
    <phoneticPr fontId="10"/>
  </si>
  <si>
    <t>所属する２次医療圏</t>
    <rPh sb="0" eb="2">
      <t>ショゾク</t>
    </rPh>
    <rPh sb="5" eb="6">
      <t>ジ</t>
    </rPh>
    <rPh sb="6" eb="8">
      <t>イリョウ</t>
    </rPh>
    <rPh sb="8" eb="9">
      <t>ケン</t>
    </rPh>
    <phoneticPr fontId="10"/>
  </si>
  <si>
    <t>(3)病床数等</t>
    <phoneticPr fontId="10" type="Hiragana"/>
  </si>
  <si>
    <t>①病床数</t>
    <rPh sb="1" eb="3">
      <t>ビョウショウ</t>
    </rPh>
    <rPh sb="3" eb="4">
      <t>スウ</t>
    </rPh>
    <phoneticPr fontId="10"/>
  </si>
  <si>
    <t>min</t>
    <phoneticPr fontId="10" type="Hiragana"/>
  </si>
  <si>
    <t>MAX</t>
    <phoneticPr fontId="10" type="Hiragana"/>
  </si>
  <si>
    <t>総数</t>
    <rPh sb="0" eb="2">
      <t>ソウスウ</t>
    </rPh>
    <phoneticPr fontId="10"/>
  </si>
  <si>
    <t>床</t>
    <rPh sb="0" eb="1">
      <t>ユカ</t>
    </rPh>
    <phoneticPr fontId="10"/>
  </si>
  <si>
    <t>　うち療養病床</t>
    <rPh sb="3" eb="5">
      <t>リョウヨウ</t>
    </rPh>
    <rPh sb="5" eb="7">
      <t>ビョウショウ</t>
    </rPh>
    <phoneticPr fontId="10"/>
  </si>
  <si>
    <t>　うち一般病床</t>
    <rPh sb="3" eb="5">
      <t>イッパン</t>
    </rPh>
    <rPh sb="5" eb="7">
      <t>ビョウショウ</t>
    </rPh>
    <phoneticPr fontId="10"/>
  </si>
  <si>
    <t>　うち特別療養環境室としている病床</t>
    <rPh sb="3" eb="5">
      <t>トクベツ</t>
    </rPh>
    <rPh sb="5" eb="7">
      <t>リョウヨウ</t>
    </rPh>
    <rPh sb="7" eb="9">
      <t>カンキョウ</t>
    </rPh>
    <rPh sb="9" eb="10">
      <t>シツ</t>
    </rPh>
    <rPh sb="15" eb="17">
      <t>ビョウショウ</t>
    </rPh>
    <phoneticPr fontId="10"/>
  </si>
  <si>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10" type="Hiragana"/>
  </si>
  <si>
    <t>②外来化学療法室</t>
  </si>
  <si>
    <t>(4)職員数</t>
    <phoneticPr fontId="10"/>
  </si>
  <si>
    <t>総職員数（事務職員含む、常勤職員の人数）</t>
    <phoneticPr fontId="10"/>
  </si>
  <si>
    <t>人</t>
    <rPh sb="0" eb="1">
      <t>ヒト</t>
    </rPh>
    <phoneticPr fontId="10"/>
  </si>
  <si>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</si>
  <si>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10"/>
  </si>
  <si>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0"/>
  </si>
  <si>
    <t>非常勤</t>
    <phoneticPr fontId="10"/>
  </si>
  <si>
    <t>常勤</t>
    <phoneticPr fontId="10"/>
  </si>
  <si>
    <t>※（常勤換算）</t>
    <phoneticPr fontId="10"/>
  </si>
  <si>
    <t>医師</t>
  </si>
  <si>
    <t>歯科医師</t>
    <rPh sb="0" eb="2">
      <t>シカ</t>
    </rPh>
    <rPh sb="2" eb="4">
      <t>イシ</t>
    </rPh>
    <phoneticPr fontId="10"/>
  </si>
  <si>
    <t>薬剤師</t>
    <rPh sb="0" eb="3">
      <t>ヤクザイシ</t>
    </rPh>
    <phoneticPr fontId="10"/>
  </si>
  <si>
    <t>保健師</t>
    <rPh sb="0" eb="2">
      <t>ホケン</t>
    </rPh>
    <rPh sb="2" eb="3">
      <t>シ</t>
    </rPh>
    <phoneticPr fontId="10"/>
  </si>
  <si>
    <t>助産師</t>
    <rPh sb="0" eb="3">
      <t>ジョサンシ</t>
    </rPh>
    <phoneticPr fontId="10"/>
  </si>
  <si>
    <t>看護師</t>
    <rPh sb="0" eb="2">
      <t>カンゴ</t>
    </rPh>
    <rPh sb="2" eb="3">
      <t>シ</t>
    </rPh>
    <phoneticPr fontId="10"/>
  </si>
  <si>
    <t>准看護師</t>
    <rPh sb="0" eb="1">
      <t>ジュン</t>
    </rPh>
    <rPh sb="1" eb="3">
      <t>カンゴ</t>
    </rPh>
    <rPh sb="3" eb="4">
      <t>シ</t>
    </rPh>
    <phoneticPr fontId="10"/>
  </si>
  <si>
    <t>理学療法士</t>
    <rPh sb="0" eb="2">
      <t>リガク</t>
    </rPh>
    <rPh sb="2" eb="4">
      <t>リョウホウ</t>
    </rPh>
    <rPh sb="4" eb="5">
      <t>シ</t>
    </rPh>
    <phoneticPr fontId="10"/>
  </si>
  <si>
    <t>作業療法士</t>
    <rPh sb="0" eb="2">
      <t>サギョウ</t>
    </rPh>
    <rPh sb="2" eb="4">
      <t>リョウホウ</t>
    </rPh>
    <rPh sb="4" eb="5">
      <t>シ</t>
    </rPh>
    <phoneticPr fontId="10"/>
  </si>
  <si>
    <t>視能訓練士</t>
    <rPh sb="0" eb="1">
      <t>シ</t>
    </rPh>
    <rPh sb="1" eb="2">
      <t>ノウ</t>
    </rPh>
    <rPh sb="2" eb="4">
      <t>クンレン</t>
    </rPh>
    <rPh sb="4" eb="5">
      <t>シ</t>
    </rPh>
    <phoneticPr fontId="10"/>
  </si>
  <si>
    <t>言語聴覚士</t>
    <rPh sb="0" eb="2">
      <t>ゲンゴ</t>
    </rPh>
    <rPh sb="2" eb="4">
      <t>チョウカク</t>
    </rPh>
    <rPh sb="4" eb="5">
      <t>シ</t>
    </rPh>
    <phoneticPr fontId="10"/>
  </si>
  <si>
    <t>義肢装具士</t>
    <rPh sb="0" eb="2">
      <t>ギシ</t>
    </rPh>
    <rPh sb="2" eb="4">
      <t>ソウグ</t>
    </rPh>
    <rPh sb="4" eb="5">
      <t>シ</t>
    </rPh>
    <phoneticPr fontId="10"/>
  </si>
  <si>
    <t>歯科衛生士</t>
    <rPh sb="0" eb="2">
      <t>シカ</t>
    </rPh>
    <rPh sb="2" eb="4">
      <t>エイセイ</t>
    </rPh>
    <rPh sb="4" eb="5">
      <t>シ</t>
    </rPh>
    <phoneticPr fontId="10"/>
  </si>
  <si>
    <t>歯科技工士</t>
    <rPh sb="0" eb="2">
      <t>シカ</t>
    </rPh>
    <rPh sb="2" eb="5">
      <t>ギコウシ</t>
    </rPh>
    <phoneticPr fontId="10"/>
  </si>
  <si>
    <t>診療放射線技師</t>
    <rPh sb="0" eb="2">
      <t>シンリョウ</t>
    </rPh>
    <rPh sb="2" eb="5">
      <t>ホウシャセン</t>
    </rPh>
    <rPh sb="5" eb="7">
      <t>ギシ</t>
    </rPh>
    <phoneticPr fontId="10"/>
  </si>
  <si>
    <t>臨床検査技師</t>
    <rPh sb="0" eb="2">
      <t>リンショウ</t>
    </rPh>
    <rPh sb="2" eb="4">
      <t>ケンサ</t>
    </rPh>
    <rPh sb="4" eb="6">
      <t>ギシ</t>
    </rPh>
    <phoneticPr fontId="10"/>
  </si>
  <si>
    <t>衛生検査技師</t>
    <rPh sb="0" eb="2">
      <t>エイセイ</t>
    </rPh>
    <rPh sb="2" eb="4">
      <t>ケンサ</t>
    </rPh>
    <rPh sb="4" eb="6">
      <t>ギシ</t>
    </rPh>
    <phoneticPr fontId="10"/>
  </si>
  <si>
    <t>臨床工学技士</t>
    <rPh sb="0" eb="2">
      <t>リンショウ</t>
    </rPh>
    <rPh sb="2" eb="4">
      <t>コウガク</t>
    </rPh>
    <rPh sb="4" eb="6">
      <t>ギシ</t>
    </rPh>
    <phoneticPr fontId="10"/>
  </si>
  <si>
    <t>管理栄養士</t>
    <rPh sb="0" eb="2">
      <t>カンリ</t>
    </rPh>
    <rPh sb="2" eb="4">
      <t>エイヨウ</t>
    </rPh>
    <rPh sb="4" eb="5">
      <t>シ</t>
    </rPh>
    <phoneticPr fontId="10"/>
  </si>
  <si>
    <t>栄養士</t>
    <rPh sb="0" eb="3">
      <t>エイヨウシ</t>
    </rPh>
    <phoneticPr fontId="10"/>
  </si>
  <si>
    <t>社会福祉士</t>
    <rPh sb="0" eb="5">
      <t>シャカイフクシシ</t>
    </rPh>
    <phoneticPr fontId="10"/>
  </si>
  <si>
    <t>精神保健福祉士</t>
    <rPh sb="0" eb="2">
      <t>セイシン</t>
    </rPh>
    <rPh sb="2" eb="4">
      <t>ホケン</t>
    </rPh>
    <rPh sb="4" eb="6">
      <t>フクシ</t>
    </rPh>
    <rPh sb="6" eb="7">
      <t>シ</t>
    </rPh>
    <phoneticPr fontId="10"/>
  </si>
  <si>
    <t>公認心理師</t>
    <rPh sb="0" eb="2">
      <t>コウニン</t>
    </rPh>
    <rPh sb="2" eb="4">
      <t>シンリ</t>
    </rPh>
    <rPh sb="4" eb="5">
      <t>シ</t>
    </rPh>
    <phoneticPr fontId="10"/>
  </si>
  <si>
    <t>介護福祉士</t>
    <rPh sb="0" eb="2">
      <t>カイゴ</t>
    </rPh>
    <rPh sb="2" eb="4">
      <t>フクシ</t>
    </rPh>
    <rPh sb="4" eb="5">
      <t>シ</t>
    </rPh>
    <phoneticPr fontId="10"/>
  </si>
  <si>
    <t>救命救急士</t>
    <rPh sb="0" eb="2">
      <t>キュウメイ</t>
    </rPh>
    <rPh sb="2" eb="4">
      <t>キュウキュウ</t>
    </rPh>
    <rPh sb="4" eb="5">
      <t>シ</t>
    </rPh>
    <phoneticPr fontId="10"/>
  </si>
  <si>
    <t>※②～④については、複数の資格を持つものは、両方にカウントする。</t>
    <phoneticPr fontId="10"/>
  </si>
  <si>
    <t>非常勤</t>
    <rPh sb="0" eb="3">
      <t>ヒジョウキン</t>
    </rPh>
    <phoneticPr fontId="10"/>
  </si>
  <si>
    <t>常勤</t>
    <rPh sb="0" eb="2">
      <t>ジョウキン</t>
    </rPh>
    <phoneticPr fontId="10"/>
  </si>
  <si>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0"/>
  </si>
  <si>
    <t>※（常勤換算）</t>
    <rPh sb="2" eb="4">
      <t>ジョウキン</t>
    </rPh>
    <rPh sb="4" eb="6">
      <t>カンサン</t>
    </rPh>
    <phoneticPr fontId="10"/>
  </si>
  <si>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</si>
  <si>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</si>
  <si>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</si>
  <si>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</si>
  <si>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</si>
  <si>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</si>
  <si>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</si>
  <si>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</si>
  <si>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</si>
  <si>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</si>
  <si>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</si>
  <si>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</si>
  <si>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</si>
  <si>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</si>
  <si>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</si>
  <si>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</si>
  <si>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</si>
  <si>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</si>
  <si>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</si>
  <si>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</si>
  <si>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</si>
  <si>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</si>
  <si>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</si>
  <si>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</si>
  <si>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</si>
  <si>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</si>
  <si>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</si>
  <si>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</si>
  <si>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</si>
  <si>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</si>
  <si>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</si>
  <si>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</si>
  <si>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</si>
  <si>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</si>
  <si>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</si>
  <si>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</si>
  <si>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</si>
  <si>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</si>
  <si>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</si>
  <si>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</si>
  <si>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</si>
  <si>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</si>
  <si>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</si>
  <si>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</si>
  <si>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</si>
  <si>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</si>
  <si>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</si>
  <si>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</si>
  <si>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</si>
  <si>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</si>
  <si>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</si>
  <si>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</si>
  <si>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4"/>
  </si>
  <si>
    <t>一般社団法人　日本乳癌学会　乳腺外科専門医</t>
    <rPh sb="14" eb="16">
      <t>ニュウセン</t>
    </rPh>
    <rPh sb="16" eb="18">
      <t>ゲカ</t>
    </rPh>
    <rPh sb="18" eb="21">
      <t>センモンイ</t>
    </rPh>
    <phoneticPr fontId="4"/>
  </si>
  <si>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</si>
  <si>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</si>
  <si>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</si>
  <si>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</si>
  <si>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</si>
  <si>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</si>
  <si>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</si>
  <si>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4"/>
  </si>
  <si>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4"/>
  </si>
  <si>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</si>
  <si>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</si>
  <si>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</si>
  <si>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</si>
  <si>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</si>
  <si>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</si>
  <si>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</si>
  <si>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0" type="Hiragana"/>
  </si>
  <si>
    <t>一般社団法人　日本内視鏡外科学会　産科婦人科領域　技術認定取得者</t>
    <phoneticPr fontId="10" type="Hiragana"/>
  </si>
  <si>
    <t>一般社団法人　日本内視鏡外科学会　消化器・一般外科領域　技術認定取得者</t>
    <phoneticPr fontId="10" type="Hiragana"/>
  </si>
  <si>
    <t>一般社団法人　日本内視鏡外科学会　泌尿器科領域　技術認定取得者</t>
    <phoneticPr fontId="10"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</si>
  <si>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</si>
  <si>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</si>
  <si>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</si>
  <si>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</si>
  <si>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</si>
  <si>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</si>
  <si>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0"/>
  </si>
  <si>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</si>
  <si>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</si>
  <si>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</si>
  <si>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</si>
  <si>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</si>
  <si>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</si>
  <si>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</si>
  <si>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</si>
  <si>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</si>
  <si>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</si>
  <si>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</si>
  <si>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</si>
  <si>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</si>
  <si>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</si>
  <si>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</si>
  <si>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</si>
  <si>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</si>
  <si>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</si>
  <si>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</si>
  <si>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</si>
  <si>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</si>
  <si>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</si>
  <si>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</si>
  <si>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</si>
  <si>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</si>
  <si>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</si>
  <si>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</si>
  <si>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0"/>
  </si>
  <si>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</si>
  <si>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0"/>
  </si>
  <si>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0"/>
  </si>
  <si>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</si>
  <si>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</si>
  <si>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0"/>
  </si>
  <si>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0"/>
  </si>
  <si>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</si>
  <si>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0"/>
  </si>
  <si>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</si>
  <si>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</si>
  <si>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</si>
  <si>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0"/>
  </si>
  <si>
    <t>一般社団法人　日本生殖心理学会　がん・生殖医療専門心理士</t>
    <phoneticPr fontId="10" type="Hiragana"/>
  </si>
  <si>
    <t>④その他の従事者</t>
    <rPh sb="3" eb="4">
      <t>タ</t>
    </rPh>
    <rPh sb="5" eb="8">
      <t>ジュウジシャ</t>
    </rPh>
    <phoneticPr fontId="10"/>
  </si>
  <si>
    <t>診療録管理部門の職員</t>
    <rPh sb="0" eb="3">
      <t>シンリョウロク</t>
    </rPh>
    <rPh sb="3" eb="5">
      <t>カンリ</t>
    </rPh>
    <rPh sb="5" eb="7">
      <t>ブモン</t>
    </rPh>
    <rPh sb="8" eb="10">
      <t>ショクイン</t>
    </rPh>
    <phoneticPr fontId="10"/>
  </si>
  <si>
    <t>公益財団法人　日本臨床心理士資格認定協会　臨床心理士</t>
    <phoneticPr fontId="10"/>
  </si>
  <si>
    <t>臨床試験コーディネーター</t>
    <phoneticPr fontId="10" type="Hiragana"/>
  </si>
  <si>
    <t>(5)その他　</t>
    <rPh sb="5" eb="6">
      <t>タ</t>
    </rPh>
    <phoneticPr fontId="10"/>
  </si>
  <si>
    <t>①夜間（深夜も含む）救急対応の可否</t>
    <rPh sb="1" eb="3">
      <t>ヤカン</t>
    </rPh>
    <rPh sb="4" eb="6">
      <t>シンヤ</t>
    </rPh>
    <rPh sb="7" eb="8">
      <t>フク</t>
    </rPh>
    <rPh sb="10" eb="12">
      <t>キュウキュウ</t>
    </rPh>
    <rPh sb="12" eb="14">
      <t>タイオウ</t>
    </rPh>
    <rPh sb="15" eb="17">
      <t>カヒ</t>
    </rPh>
    <phoneticPr fontId="10"/>
  </si>
  <si>
    <t>（可／否）</t>
    <rPh sb="1" eb="2">
      <t>カ</t>
    </rPh>
    <rPh sb="3" eb="4">
      <t>ヒ</t>
    </rPh>
    <phoneticPr fontId="10"/>
  </si>
  <si>
    <t>②各種委員会の設置状況</t>
    <rPh sb="1" eb="3">
      <t>カクシュ</t>
    </rPh>
    <rPh sb="3" eb="6">
      <t>イインカイ</t>
    </rPh>
    <rPh sb="7" eb="9">
      <t>セッチ</t>
    </rPh>
    <rPh sb="9" eb="11">
      <t>ジョウキョウ</t>
    </rPh>
    <phoneticPr fontId="10"/>
  </si>
  <si>
    <t>倫理審査委員会</t>
    <rPh sb="0" eb="2">
      <t>リンリ</t>
    </rPh>
    <rPh sb="2" eb="4">
      <t>シンサ</t>
    </rPh>
    <rPh sb="4" eb="7">
      <t>イインカイ</t>
    </rPh>
    <phoneticPr fontId="10"/>
  </si>
  <si>
    <t>（あり／なし）</t>
    <phoneticPr fontId="10"/>
  </si>
  <si>
    <t>年</t>
    <rPh sb="0" eb="1">
      <t>ネン</t>
    </rPh>
    <phoneticPr fontId="10"/>
  </si>
  <si>
    <t>治験審査委員会</t>
    <rPh sb="0" eb="2">
      <t>チケン</t>
    </rPh>
    <rPh sb="2" eb="4">
      <t>シンサ</t>
    </rPh>
    <rPh sb="4" eb="7">
      <t>イインカイ</t>
    </rPh>
    <phoneticPr fontId="10"/>
  </si>
  <si>
    <t>医療安全委員会</t>
    <rPh sb="0" eb="2">
      <t>イリョウ</t>
    </rPh>
    <rPh sb="2" eb="4">
      <t>アンゼン</t>
    </rPh>
    <rPh sb="4" eb="7">
      <t>イインカイ</t>
    </rPh>
    <phoneticPr fontId="10"/>
  </si>
  <si>
    <t>感染管理委員会</t>
    <rPh sb="0" eb="2">
      <t>カンセン</t>
    </rPh>
    <rPh sb="2" eb="4">
      <t>カンリ</t>
    </rPh>
    <rPh sb="4" eb="7">
      <t>イインカイ</t>
    </rPh>
    <phoneticPr fontId="10"/>
  </si>
  <si>
    <t>(6)患者数・診療件数の状況</t>
    <rPh sb="7" eb="9">
      <t>シンリョウ</t>
    </rPh>
    <rPh sb="9" eb="11">
      <t>ケンスウ</t>
    </rPh>
    <phoneticPr fontId="10"/>
  </si>
  <si>
    <t>①</t>
    <phoneticPr fontId="10"/>
  </si>
  <si>
    <t>患者数等</t>
    <phoneticPr fontId="10"/>
  </si>
  <si>
    <t>年間入院患者延べ数※１</t>
    <rPh sb="0" eb="2">
      <t>ネンカン</t>
    </rPh>
    <rPh sb="2" eb="4">
      <t>ニュウイン</t>
    </rPh>
    <rPh sb="4" eb="6">
      <t>カンジャ</t>
    </rPh>
    <rPh sb="6" eb="7">
      <t>ノ</t>
    </rPh>
    <rPh sb="8" eb="9">
      <t>スウ</t>
    </rPh>
    <phoneticPr fontId="10"/>
  </si>
  <si>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</si>
  <si>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10"/>
  </si>
  <si>
    <t>％</t>
    <phoneticPr fontId="10"/>
  </si>
  <si>
    <t>年間外来がん患者延べ数※3</t>
    <rPh sb="0" eb="2">
      <t>ネンカン</t>
    </rPh>
    <rPh sb="2" eb="4">
      <t>ガイライ</t>
    </rPh>
    <rPh sb="6" eb="8">
      <t>カンジャ</t>
    </rPh>
    <rPh sb="8" eb="9">
      <t>ノ</t>
    </rPh>
    <rPh sb="10" eb="11">
      <t>カズ</t>
    </rPh>
    <phoneticPr fontId="10"/>
  </si>
  <si>
    <t>年間院内死亡がん患者数</t>
    <rPh sb="0" eb="2">
      <t>ねんかん</t>
    </rPh>
    <rPh sb="2" eb="4">
      <t>いんない</t>
    </rPh>
    <rPh sb="4" eb="6">
      <t>しぼう</t>
    </rPh>
    <rPh sb="8" eb="11">
      <t>かんじゃすう</t>
    </rPh>
    <phoneticPr fontId="10" type="Hiragana"/>
  </si>
  <si>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10" type="Hiragana"/>
  </si>
  <si>
    <t>②</t>
    <phoneticPr fontId="10"/>
  </si>
  <si>
    <t>検査等の実施状況</t>
    <rPh sb="0" eb="2">
      <t>ケンサ</t>
    </rPh>
    <rPh sb="2" eb="3">
      <t>トウ</t>
    </rPh>
    <rPh sb="4" eb="6">
      <t>ジッシ</t>
    </rPh>
    <rPh sb="6" eb="8">
      <t>ジョウキョウ</t>
    </rPh>
    <phoneticPr fontId="10"/>
  </si>
  <si>
    <t>ア</t>
    <phoneticPr fontId="10"/>
  </si>
  <si>
    <t>病理診断の件数</t>
    <rPh sb="0" eb="1">
      <t>ビョウ</t>
    </rPh>
    <rPh sb="1" eb="2">
      <t>リ</t>
    </rPh>
    <rPh sb="2" eb="4">
      <t>シンダン</t>
    </rPh>
    <rPh sb="5" eb="7">
      <t>ケンスウ</t>
    </rPh>
    <phoneticPr fontId="10"/>
  </si>
  <si>
    <t>病理組織診断</t>
    <rPh sb="2" eb="4">
      <t>ソシキ</t>
    </rPh>
    <phoneticPr fontId="10"/>
  </si>
  <si>
    <t>件</t>
    <rPh sb="0" eb="1">
      <t>ケン</t>
    </rPh>
    <phoneticPr fontId="10"/>
  </si>
  <si>
    <t>病理細胞診断</t>
    <rPh sb="0" eb="2">
      <t>びょうり</t>
    </rPh>
    <phoneticPr fontId="10" type="Hiragana"/>
  </si>
  <si>
    <t>病理組織迅速組織顕微鏡検査</t>
    <phoneticPr fontId="10" type="Hiragana"/>
  </si>
  <si>
    <t>(7)グループ指定について</t>
    <rPh sb="7" eb="9">
      <t>シテイ</t>
    </rPh>
    <phoneticPr fontId="10"/>
  </si>
  <si>
    <t>　①地域がん診療病院とグループ指定を受けている。</t>
    <rPh sb="2" eb="4">
      <t>チイキ</t>
    </rPh>
    <rPh sb="6" eb="8">
      <t>シンリョウ</t>
    </rPh>
    <rPh sb="8" eb="10">
      <t>ビョウイン</t>
    </rPh>
    <rPh sb="15" eb="17">
      <t>シテイ</t>
    </rPh>
    <rPh sb="18" eb="19">
      <t>ウ</t>
    </rPh>
    <phoneticPr fontId="10"/>
  </si>
  <si>
    <t>（はい／いいえ）</t>
    <phoneticPr fontId="10"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</si>
  <si>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令和７年４月１日時点</t>
    </r>
    <r>
      <rPr>
        <sz val="14"/>
        <rFont val="ＭＳ Ｐゴシック"/>
        <family val="3"/>
        <charset val="128"/>
      </rPr>
      <t>でグループ指定の組み合わせが変更される予定がある場合は、新旧両方のグループ指定先医療機関名を記入すること。</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0" type="Hiragana"/>
  </si>
  <si>
    <t>　②がん診療連携拠点病院とグループ指定を受けている。</t>
    <rPh sb="17" eb="19">
      <t>シテイ</t>
    </rPh>
    <rPh sb="20" eb="21">
      <t>ウ</t>
    </rPh>
    <phoneticPr fontId="10"/>
  </si>
  <si>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10" type="Hiragana"/>
  </si>
  <si>
    <t>(8)各治療の状況について</t>
    <rPh sb="3" eb="6">
      <t>カクチリョウ</t>
    </rPh>
    <rPh sb="7" eb="9">
      <t>ジョウキョウ</t>
    </rPh>
    <phoneticPr fontId="10"/>
  </si>
  <si>
    <t>手術等の状況</t>
    <rPh sb="0" eb="2">
      <t>シュジュツ</t>
    </rPh>
    <rPh sb="2" eb="3">
      <t>トウ</t>
    </rPh>
    <rPh sb="4" eb="6">
      <t>ジョウキョウ</t>
    </rPh>
    <phoneticPr fontId="10"/>
  </si>
  <si>
    <t>大腸がん・肺がん・胃がん・乳がん・前立腺がん・肝胆膵がんに関する悪性腫瘍の手術件数（令和５年１月１日～12月31日）</t>
  </si>
  <si>
    <t>大腸がん（C18$、C19、C20、D01.0、D01.1、D01.2）の手術件数</t>
    <rPh sb="37" eb="39">
      <t>シュジュツ</t>
    </rPh>
    <rPh sb="39" eb="41">
      <t>ケンスウ</t>
    </rPh>
    <phoneticPr fontId="10"/>
  </si>
  <si>
    <t xml:space="preserve">開腹手術　K7193、K739$、K740$
</t>
    <rPh sb="0" eb="2">
      <t>カイフク</t>
    </rPh>
    <rPh sb="2" eb="4">
      <t>シュジュツ</t>
    </rPh>
    <phoneticPr fontId="10"/>
  </si>
  <si>
    <t xml:space="preserve">腹腔鏡下手術　K719-3、K740-2$
</t>
    <phoneticPr fontId="10"/>
  </si>
  <si>
    <t xml:space="preserve"> </t>
    <phoneticPr fontId="10" type="Hiragana"/>
  </si>
  <si>
    <t>うち、内視鏡手術用支援機器を用いるもの（ロボット支援手術）</t>
    <phoneticPr fontId="10" type="Hiragana"/>
  </si>
  <si>
    <t>内視鏡手術　K721$、K721-4、K739-2、Ｋ739-3</t>
    <rPh sb="0" eb="3">
      <t>ナイシキョウ</t>
    </rPh>
    <rPh sb="3" eb="5">
      <t>シュジュツ</t>
    </rPh>
    <phoneticPr fontId="10"/>
  </si>
  <si>
    <t>肺がん（C34$、D02.2）の手術件数</t>
    <rPh sb="16" eb="18">
      <t>シュジュツ</t>
    </rPh>
    <rPh sb="18" eb="20">
      <t>ケンスウ</t>
    </rPh>
    <phoneticPr fontId="10"/>
  </si>
  <si>
    <t>開胸手術　K511$、K514$、K518$</t>
    <rPh sb="0" eb="1">
      <t>カイ</t>
    </rPh>
    <rPh sb="1" eb="2">
      <t>キョウ</t>
    </rPh>
    <rPh sb="2" eb="4">
      <t>シュジュツ</t>
    </rPh>
    <phoneticPr fontId="10"/>
  </si>
  <si>
    <t>胸腔鏡下手術　K514-2$</t>
    <phoneticPr fontId="10"/>
  </si>
  <si>
    <t>　</t>
    <phoneticPr fontId="10"/>
  </si>
  <si>
    <t>胃がん（C16$、D00.2）の手術件数</t>
    <rPh sb="0" eb="1">
      <t>イ</t>
    </rPh>
    <rPh sb="16" eb="18">
      <t>シュジュツ</t>
    </rPh>
    <rPh sb="18" eb="20">
      <t>ケンスウ</t>
    </rPh>
    <phoneticPr fontId="10"/>
  </si>
  <si>
    <t>開腹手術　K654-2、K6552、K655-42、K6572</t>
    <rPh sb="0" eb="2">
      <t>カイフク</t>
    </rPh>
    <rPh sb="2" eb="4">
      <t>シュジュツ</t>
    </rPh>
    <phoneticPr fontId="10"/>
  </si>
  <si>
    <t>腹腔鏡下手術　K654-3$、K655-22、K655-52、K655-23、K655-53、K657-22、K657-24、K657-23</t>
    <phoneticPr fontId="10"/>
  </si>
  <si>
    <t>　　うち、腹腔鏡下手術（内視鏡手術用支援機器を用いるもの（ロボット支援手術））　K655-23、K655-53、K657-24</t>
    <phoneticPr fontId="10" type="Hiragana"/>
  </si>
  <si>
    <t>内視鏡手術　粘膜切除術（EMR）K6531</t>
    <rPh sb="0" eb="3">
      <t>ナイシキョウ</t>
    </rPh>
    <rPh sb="3" eb="5">
      <t>シュジュツ</t>
    </rPh>
    <phoneticPr fontId="10"/>
  </si>
  <si>
    <t>内視鏡手術　粘膜下層剥離術（ESD）K6532</t>
    <rPh sb="0" eb="3">
      <t>ナイシキョウ</t>
    </rPh>
    <rPh sb="3" eb="5">
      <t>シュジュツ</t>
    </rPh>
    <phoneticPr fontId="10"/>
  </si>
  <si>
    <t>乳がん（C50$、D05$）の手術件数</t>
    <rPh sb="15" eb="17">
      <t>シュジュツ</t>
    </rPh>
    <rPh sb="17" eb="19">
      <t>ケンスウ</t>
    </rPh>
    <phoneticPr fontId="10"/>
  </si>
  <si>
    <t>手術　K476$</t>
    <rPh sb="0" eb="2">
      <t>シュジュツ</t>
    </rPh>
    <phoneticPr fontId="10"/>
  </si>
  <si>
    <t>乳癌冷凍凝固摘出術　K475-2</t>
    <rPh sb="0" eb="2">
      <t>ニュウガン</t>
    </rPh>
    <rPh sb="2" eb="4">
      <t>レイトウ</t>
    </rPh>
    <rPh sb="4" eb="6">
      <t>ギョウコ</t>
    </rPh>
    <rPh sb="6" eb="8">
      <t>テキシュツ</t>
    </rPh>
    <rPh sb="8" eb="9">
      <t>ジュツ</t>
    </rPh>
    <phoneticPr fontId="10"/>
  </si>
  <si>
    <t>乳腺腫瘍摘出術（生検）　K474$</t>
    <rPh sb="0" eb="2">
      <t>ニュウセン</t>
    </rPh>
    <rPh sb="2" eb="4">
      <t>シュヨウ</t>
    </rPh>
    <rPh sb="4" eb="6">
      <t>テキシュツ</t>
    </rPh>
    <rPh sb="6" eb="7">
      <t>ジュツ</t>
    </rPh>
    <rPh sb="8" eb="9">
      <t>セイ</t>
    </rPh>
    <rPh sb="9" eb="10">
      <t>ケン</t>
    </rPh>
    <phoneticPr fontId="10"/>
  </si>
  <si>
    <t>乳腺腫瘍画像ガイド下吸引術　K474-3$</t>
    <rPh sb="0" eb="2">
      <t>ニュウセン</t>
    </rPh>
    <rPh sb="2" eb="4">
      <t>シュヨウ</t>
    </rPh>
    <rPh sb="4" eb="6">
      <t>ガゾウ</t>
    </rPh>
    <rPh sb="9" eb="10">
      <t>シタ</t>
    </rPh>
    <rPh sb="10" eb="12">
      <t>キュウイン</t>
    </rPh>
    <rPh sb="12" eb="13">
      <t>ジュツ</t>
    </rPh>
    <phoneticPr fontId="10"/>
  </si>
  <si>
    <t>乳房再建術（乳房切除後）　二次的に行うもの　K476-32</t>
    <rPh sb="14" eb="15">
      <t>ツギ</t>
    </rPh>
    <phoneticPr fontId="10"/>
  </si>
  <si>
    <t>前立腺がん（C61）の手術件数</t>
    <rPh sb="0" eb="3">
      <t>ゼンリツセン</t>
    </rPh>
    <rPh sb="11" eb="13">
      <t>シュジュツ</t>
    </rPh>
    <rPh sb="13" eb="15">
      <t>ケンスウ</t>
    </rPh>
    <phoneticPr fontId="10"/>
  </si>
  <si>
    <t xml:space="preserve">開腹手術　K843
</t>
    <rPh sb="0" eb="2">
      <t>カイフク</t>
    </rPh>
    <rPh sb="2" eb="4">
      <t>シュジュツ</t>
    </rPh>
    <phoneticPr fontId="10"/>
  </si>
  <si>
    <t>腹腔鏡下手術　K843-2、K843-3、K843-4</t>
    <phoneticPr fontId="10"/>
  </si>
  <si>
    <t xml:space="preserve">　　うち、腹腔鏡下手術（内視鏡手術用支援機器を用いるもの（ロボット支援手術））　K843-4	</t>
  </si>
  <si>
    <t>肝臓がん（C22$、D01.5）の手術件数</t>
    <rPh sb="17" eb="19">
      <t>シュジュツ</t>
    </rPh>
    <rPh sb="19" eb="21">
      <t>ケンスウ</t>
    </rPh>
    <phoneticPr fontId="10"/>
  </si>
  <si>
    <t xml:space="preserve">開腹手術　K695$
</t>
    <rPh sb="0" eb="2">
      <t>カイフク</t>
    </rPh>
    <rPh sb="2" eb="4">
      <t>シュジュツ</t>
    </rPh>
    <phoneticPr fontId="10"/>
  </si>
  <si>
    <t>腹腔鏡下手術　K695-2$</t>
    <rPh sb="0" eb="2">
      <t>フククウ</t>
    </rPh>
    <rPh sb="2" eb="3">
      <t>カガミ</t>
    </rPh>
    <rPh sb="3" eb="4">
      <t>シタ</t>
    </rPh>
    <rPh sb="4" eb="6">
      <t>シュジュツ</t>
    </rPh>
    <phoneticPr fontId="10"/>
  </si>
  <si>
    <t>マイクロ波凝固法　K697-2$　　</t>
    <phoneticPr fontId="10"/>
  </si>
  <si>
    <t>ラジオ波焼灼療法　K697-3$</t>
    <phoneticPr fontId="10"/>
  </si>
  <si>
    <t>胆のうがん（C23）の手術件数</t>
    <rPh sb="0" eb="1">
      <t>タン</t>
    </rPh>
    <rPh sb="11" eb="13">
      <t>シュジュツ</t>
    </rPh>
    <rPh sb="13" eb="15">
      <t>ケンスウ</t>
    </rPh>
    <phoneticPr fontId="10"/>
  </si>
  <si>
    <t>開腹手術　K675$</t>
    <rPh sb="0" eb="2">
      <t>カイフク</t>
    </rPh>
    <rPh sb="2" eb="4">
      <t>シュジュツ</t>
    </rPh>
    <phoneticPr fontId="10"/>
  </si>
  <si>
    <t>腹腔鏡下手術　K675-2</t>
    <phoneticPr fontId="10"/>
  </si>
  <si>
    <t>胆管がん（C240、C241、C248、C249）の手術件数</t>
    <rPh sb="0" eb="2">
      <t>タンカン</t>
    </rPh>
    <rPh sb="26" eb="28">
      <t>シュジュツ</t>
    </rPh>
    <rPh sb="28" eb="30">
      <t>ケンスウ</t>
    </rPh>
    <phoneticPr fontId="10"/>
  </si>
  <si>
    <t>開腹手術　K677、K677-2</t>
    <rPh sb="0" eb="2">
      <t>カイフク</t>
    </rPh>
    <rPh sb="2" eb="4">
      <t>シュジュツ</t>
    </rPh>
    <phoneticPr fontId="10"/>
  </si>
  <si>
    <t>膵臓がん（C250、C251、C252、C253、C254、C257、C258、C259）の手術件数</t>
    <rPh sb="0" eb="2">
      <t>スイゾウ</t>
    </rPh>
    <rPh sb="46" eb="48">
      <t>シュジュツ</t>
    </rPh>
    <rPh sb="48" eb="50">
      <t>ケンスウ</t>
    </rPh>
    <phoneticPr fontId="10"/>
  </si>
  <si>
    <t xml:space="preserve">開腹手術　K700-2、K702$、K703$、K704
</t>
    <rPh sb="0" eb="2">
      <t>カイフク</t>
    </rPh>
    <rPh sb="2" eb="4">
      <t>シュジュツ</t>
    </rPh>
    <phoneticPr fontId="10"/>
  </si>
  <si>
    <t>腹腔鏡下手術　K700-3、K702-2$、K703-2$</t>
    <phoneticPr fontId="10"/>
  </si>
  <si>
    <t>うち、内視鏡手術用支援機器（ロボット支援手術）を用いて行った件数</t>
    <phoneticPr fontId="10" type="Hiragana"/>
  </si>
  <si>
    <t>放射線治療の状況</t>
    <rPh sb="0" eb="3">
      <t>ホウシャセン</t>
    </rPh>
    <rPh sb="3" eb="5">
      <t>チリョウ</t>
    </rPh>
    <rPh sb="6" eb="8">
      <t>ジョウキョウ</t>
    </rPh>
    <phoneticPr fontId="10"/>
  </si>
  <si>
    <t>　※以下、放射線治療件数に関する項目は、必ず放射線治療責任医師の確認を取って記入すること。</t>
  </si>
  <si>
    <t>全てのがんを対象としたのべ患者数　（令和５年1月1日～12月31日の間に放射線治療を開始した患者数）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</si>
  <si>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</si>
  <si>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</si>
  <si>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</si>
  <si>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</si>
  <si>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0"/>
  </si>
  <si>
    <t>密封小線源治療</t>
    <rPh sb="0" eb="2">
      <t>ミップウ</t>
    </rPh>
    <rPh sb="2" eb="5">
      <t>ショウセンゲン</t>
    </rPh>
    <rPh sb="5" eb="7">
      <t>チリョウ</t>
    </rPh>
    <phoneticPr fontId="10"/>
  </si>
  <si>
    <t>核医学治療</t>
    <rPh sb="0" eb="1">
      <t>カク</t>
    </rPh>
    <rPh sb="1" eb="3">
      <t>イガク</t>
    </rPh>
    <rPh sb="3" eb="5">
      <t>チリョウ</t>
    </rPh>
    <phoneticPr fontId="10"/>
  </si>
  <si>
    <t>我が国に多いがんを対象としたのべ患者数　（令和５年１月１日～12月31日の間に放射線治療を開始した患者数）</t>
  </si>
  <si>
    <t>※原発巣に記載してください。</t>
  </si>
  <si>
    <t>肝がん</t>
    <rPh sb="0" eb="1">
      <t>カン</t>
    </rPh>
    <phoneticPr fontId="10"/>
  </si>
  <si>
    <t>胆のう・胆管がん</t>
    <phoneticPr fontId="10" type="Hiragana"/>
  </si>
  <si>
    <t>膵臓がん</t>
    <phoneticPr fontId="10" type="Hiragana"/>
  </si>
  <si>
    <t>乳がん</t>
    <rPh sb="0" eb="1">
      <t>ニュウ</t>
    </rPh>
    <phoneticPr fontId="10"/>
  </si>
  <si>
    <t>緩和ケアチームに対する新規診療症例の状況（重複可）（令和５年1月1日～12月31日）</t>
  </si>
  <si>
    <t>身体症状の緩和を行った症例数</t>
    <rPh sb="0" eb="2">
      <t>シンタイ</t>
    </rPh>
    <rPh sb="2" eb="4">
      <t>ショウジョウ</t>
    </rPh>
    <rPh sb="5" eb="7">
      <t>カンワ</t>
    </rPh>
    <rPh sb="8" eb="9">
      <t>オコナ</t>
    </rPh>
    <rPh sb="11" eb="13">
      <t>ショウレイ</t>
    </rPh>
    <rPh sb="13" eb="14">
      <t>スウ</t>
    </rPh>
    <phoneticPr fontId="10"/>
  </si>
  <si>
    <t>精神症状の緩和を行った症例数</t>
    <rPh sb="0" eb="2">
      <t>セイシン</t>
    </rPh>
    <rPh sb="2" eb="4">
      <t>ショウジョウ</t>
    </rPh>
    <rPh sb="5" eb="7">
      <t>カンワ</t>
    </rPh>
    <rPh sb="8" eb="9">
      <t>オコナ</t>
    </rPh>
    <rPh sb="11" eb="13">
      <t>ショウレイ</t>
    </rPh>
    <rPh sb="13" eb="14">
      <t>スウ</t>
    </rPh>
    <phoneticPr fontId="10"/>
  </si>
  <si>
    <t>社会的苦痛に対する緩和を行った症例数</t>
    <phoneticPr fontId="10"/>
  </si>
  <si>
    <t>自施設で実施したがんの治療に際する妊孕性温存治療の状況（令和５年１月１日～12月31日）</t>
  </si>
  <si>
    <t>がんの治療に際する妊孕性温存目的で精子凍結を行った患者の人数</t>
    <rPh sb="19" eb="21">
      <t>とうけつ</t>
    </rPh>
    <phoneticPr fontId="10" type="Hiragana"/>
  </si>
  <si>
    <t>　上記のうち、精巣内精子採取術（Onco-TESE）を行った患者の人数</t>
    <rPh sb="1" eb="3">
      <t>じょうき</t>
    </rPh>
    <rPh sb="33" eb="35">
      <t>にんずう</t>
    </rPh>
    <phoneticPr fontId="10" type="Hiragana"/>
  </si>
  <si>
    <t>がんの治療に際する妊孕性温存目的で未受精卵子の凍結保存を行った患者の人数</t>
    <rPh sb="17" eb="20">
      <t>みじゅせい</t>
    </rPh>
    <rPh sb="20" eb="22">
      <t>らんし</t>
    </rPh>
    <rPh sb="23" eb="25">
      <t>とうけつ</t>
    </rPh>
    <rPh sb="25" eb="27">
      <t>ほぞん</t>
    </rPh>
    <phoneticPr fontId="10" type="Hiragana"/>
  </si>
  <si>
    <t>がんの治療に際する妊孕性温存目的で受精卵（胚）の凍結保存を行った患者の人数</t>
    <rPh sb="17" eb="20">
      <t>じゅせいらん</t>
    </rPh>
    <rPh sb="21" eb="22">
      <t>はい</t>
    </rPh>
    <rPh sb="24" eb="26">
      <t>とうけつ</t>
    </rPh>
    <rPh sb="26" eb="28">
      <t>ほぞん</t>
    </rPh>
    <phoneticPr fontId="10" type="Hiragana"/>
  </si>
  <si>
    <t>がんの治療に際する妊孕性温存目的で卵巣組織の凍結保存を行った患者の人数</t>
    <rPh sb="17" eb="19">
      <t>らんそう</t>
    </rPh>
    <rPh sb="19" eb="21">
      <t>そしき</t>
    </rPh>
    <rPh sb="22" eb="24">
      <t>とうけつ</t>
    </rPh>
    <rPh sb="24" eb="26">
      <t>ほぞん</t>
    </rPh>
    <phoneticPr fontId="10" type="Hiragana"/>
  </si>
  <si>
    <t>がん患者の造血器腫瘍に対する自家造血幹細胞移植を自施設で行う体制を有している。</t>
    <rPh sb="16" eb="18">
      <t>ぞうけつ</t>
    </rPh>
    <rPh sb="18" eb="21">
      <t>かんさいぼう</t>
    </rPh>
    <phoneticPr fontId="10"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</si>
  <si>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</si>
  <si>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10" type="Hiragana"/>
  </si>
  <si>
    <t>がん患者の造血器腫瘍に対するCAR-T療法を自施設で行う体制を有している。</t>
    <phoneticPr fontId="10" type="Hiragana"/>
  </si>
  <si>
    <t>(9)小児がん患者への対応について</t>
    <rPh sb="3" eb="5">
      <t>ショウニ</t>
    </rPh>
    <rPh sb="7" eb="9">
      <t>カンジャ</t>
    </rPh>
    <rPh sb="11" eb="13">
      <t>タイオウ</t>
    </rPh>
    <phoneticPr fontId="10"/>
  </si>
  <si>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</si>
  <si>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</si>
  <si>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</si>
  <si>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0" type="Hiragana"/>
  </si>
  <si>
    <t>分</t>
    <rPh sb="0" eb="1">
      <t>フン</t>
    </rPh>
    <phoneticPr fontId="10"/>
  </si>
  <si>
    <t>(10)その他の施設について</t>
    <rPh sb="6" eb="7">
      <t>ほか</t>
    </rPh>
    <rPh sb="8" eb="10">
      <t>しせつ</t>
    </rPh>
    <phoneticPr fontId="10" type="Hiragana"/>
  </si>
  <si>
    <t>集中治療室を設置している。</t>
  </si>
  <si>
    <t>緩和ケア病棟を有している。</t>
    <rPh sb="0" eb="2">
      <t>カンワ</t>
    </rPh>
    <rPh sb="4" eb="6">
      <t>ビョウトウ</t>
    </rPh>
    <rPh sb="7" eb="8">
      <t>ユウ</t>
    </rPh>
    <phoneticPr fontId="10"/>
  </si>
  <si>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0" type="Hiragana"/>
  </si>
  <si>
    <t>未入力あり</t>
    <rPh sb="0" eb="3">
      <t>ミニュウリョク</t>
    </rPh>
    <phoneticPr fontId="10"/>
  </si>
  <si>
    <t>○</t>
    <phoneticPr fontId="10"/>
  </si>
  <si>
    <t>×</t>
    <phoneticPr fontId="10"/>
  </si>
  <si>
    <t>医療機関名</t>
    <rPh sb="0" eb="2">
      <t>イリョウ</t>
    </rPh>
    <rPh sb="2" eb="4">
      <t>キカン</t>
    </rPh>
    <rPh sb="4" eb="5">
      <t>メイ</t>
    </rPh>
    <phoneticPr fontId="10"/>
  </si>
  <si>
    <t>Ⅱ</t>
    <phoneticPr fontId="10"/>
  </si>
  <si>
    <t>Ⅲ</t>
    <phoneticPr fontId="10"/>
  </si>
  <si>
    <t>令和６年９月時点指定類型</t>
  </si>
  <si>
    <t>Ⅳ</t>
    <phoneticPr fontId="10"/>
  </si>
  <si>
    <t>Ⅴ</t>
    <phoneticPr fontId="10"/>
  </si>
  <si>
    <t>Ⅵ</t>
    <phoneticPr fontId="10"/>
  </si>
  <si>
    <t>指針の箇所</t>
    <rPh sb="0" eb="2">
      <t>シシン</t>
    </rPh>
    <rPh sb="3" eb="5">
      <t>カショ</t>
    </rPh>
    <phoneticPr fontId="10"/>
  </si>
  <si>
    <t>要件</t>
    <rPh sb="0" eb="2">
      <t>ヨウケン</t>
    </rPh>
    <phoneticPr fontId="10"/>
  </si>
  <si>
    <t>要件区分</t>
    <rPh sb="0" eb="2">
      <t>ヨウケン</t>
    </rPh>
    <rPh sb="2" eb="4">
      <t>クブン</t>
    </rPh>
    <phoneticPr fontId="10"/>
  </si>
  <si>
    <t>令和６年９月１日時点の状況</t>
  </si>
  <si>
    <t>備考欄</t>
    <rPh sb="0" eb="2">
      <t>ビコウ</t>
    </rPh>
    <rPh sb="2" eb="3">
      <t>ラン</t>
    </rPh>
    <phoneticPr fontId="10"/>
  </si>
  <si>
    <t>※印刷範囲外です。メモ書きとして使えますが、提出前には個人情報などの</t>
    <phoneticPr fontId="10"/>
  </si>
  <si>
    <t>Ⅱ　</t>
    <phoneticPr fontId="10"/>
  </si>
  <si>
    <t>地域がん診療連携拠点病院の指定要件について</t>
  </si>
  <si>
    <t>　 記載がないことをご確認ください。</t>
    <phoneticPr fontId="10"/>
  </si>
  <si>
    <t>１　</t>
    <phoneticPr fontId="10"/>
  </si>
  <si>
    <t>都道府県協議会における役割</t>
  </si>
  <si>
    <t>各都道府県の他の拠点病院等と協働して都道府県協議会を設置し、その運営に主体的に参画している。</t>
    <phoneticPr fontId="10"/>
  </si>
  <si>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10"/>
  </si>
  <si>
    <t>２</t>
    <phoneticPr fontId="10"/>
  </si>
  <si>
    <t>診療体制</t>
    <phoneticPr fontId="10"/>
  </si>
  <si>
    <t>（１）</t>
    <phoneticPr fontId="10"/>
  </si>
  <si>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</si>
  <si>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</si>
  <si>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</si>
  <si>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10"/>
  </si>
  <si>
    <t>別紙２に詳細を記載してください。</t>
    <rPh sb="0" eb="2">
      <t>ベッシ</t>
    </rPh>
    <rPh sb="4" eb="6">
      <t>ショウサイ</t>
    </rPh>
    <rPh sb="7" eb="9">
      <t>キサイ</t>
    </rPh>
    <phoneticPr fontId="10"/>
  </si>
  <si>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10"/>
  </si>
  <si>
    <t>別紙３に詳細を記載してください。</t>
    <rPh sb="0" eb="2">
      <t>ベッシ</t>
    </rPh>
    <rPh sb="4" eb="6">
      <t>ショウサイ</t>
    </rPh>
    <rPh sb="7" eb="9">
      <t>キサイ</t>
    </rPh>
    <phoneticPr fontId="10"/>
  </si>
  <si>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</si>
  <si>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</si>
  <si>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</si>
  <si>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</si>
  <si>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</si>
  <si>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</si>
  <si>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</si>
  <si>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0"/>
  </si>
  <si>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</si>
  <si>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</si>
  <si>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</si>
  <si>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0"/>
  </si>
  <si>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</si>
  <si>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</si>
  <si>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10"/>
  </si>
  <si>
    <t>ⅳ</t>
  </si>
  <si>
    <t>臨床倫理的、社会的な問題を解決するための、具体的な事例に則した、患者支援の充実や多職種間の連携強化を目的とした院内全体の多職種によるカンファレンス</t>
    <phoneticPr fontId="10"/>
  </si>
  <si>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0"/>
  </si>
  <si>
    <t>ⅳのカンファレンスを月１回以上開催している。</t>
  </si>
  <si>
    <t>検討した内容について、診療録に記録の上、関係者間で共有している。</t>
    <phoneticPr fontId="10"/>
  </si>
  <si>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</si>
  <si>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0"/>
  </si>
  <si>
    <t>別紙19に詳細を記載してください。</t>
    <rPh sb="0" eb="2">
      <t>ベッシ</t>
    </rPh>
    <phoneticPr fontId="10"/>
  </si>
  <si>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</si>
  <si>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</si>
  <si>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0"/>
  </si>
  <si>
    <t>-</t>
    <phoneticPr fontId="10"/>
  </si>
  <si>
    <t>手術療法、放射線療法、薬物療法の提供体制の特記事項</t>
    <phoneticPr fontId="10"/>
  </si>
  <si>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</si>
  <si>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0"/>
  </si>
  <si>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</si>
  <si>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</si>
  <si>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</si>
  <si>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0"/>
  </si>
  <si>
    <t>外来での核医学治療（RI内用療法）を提供している。</t>
    <rPh sb="18" eb="20">
      <t>テイキョウ</t>
    </rPh>
    <phoneticPr fontId="10"/>
  </si>
  <si>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</si>
  <si>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0"/>
  </si>
  <si>
    <t>専用治療病室を要する核医学治療（RI内用療法）や粒子線治療等の高度な放射線治療について、患者に情報提供を行うとともに、必要に応じて適切な医療機関へ紹介する体制を整備している。</t>
    <phoneticPr fontId="10"/>
  </si>
  <si>
    <t>RI内用療法に必要な放射線治療病室を整備している。</t>
    <rPh sb="10" eb="13">
      <t>ホウシャセン</t>
    </rPh>
    <phoneticPr fontId="10"/>
  </si>
  <si>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10"/>
  </si>
  <si>
    <t>カ</t>
  </si>
  <si>
    <t>関連する学会のガイドライン等も参考に、第三者機関による出力線量測定を行い、放射線治療の品質管理を行っている。</t>
    <phoneticPr fontId="10"/>
  </si>
  <si>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10"/>
  </si>
  <si>
    <t>測定機関名を記入すること。</t>
    <rPh sb="0" eb="2">
      <t>ソクテイ</t>
    </rPh>
    <rPh sb="2" eb="4">
      <t>キカン</t>
    </rPh>
    <rPh sb="4" eb="5">
      <t>メイ</t>
    </rPh>
    <rPh sb="6" eb="8">
      <t>キニュウ</t>
    </rPh>
    <phoneticPr fontId="10"/>
  </si>
  <si>
    <t>基準線量の±５％の水準以内である。</t>
    <rPh sb="0" eb="2">
      <t>キジュン</t>
    </rPh>
    <rPh sb="2" eb="4">
      <t>センリョウ</t>
    </rPh>
    <rPh sb="9" eb="11">
      <t>スイジュン</t>
    </rPh>
    <rPh sb="11" eb="13">
      <t>イナイ</t>
    </rPh>
    <phoneticPr fontId="10"/>
  </si>
  <si>
    <t>キ</t>
  </si>
  <si>
    <t>画像下治療（ＩＶＲ）を提供している。</t>
  </si>
  <si>
    <t>ク</t>
  </si>
  <si>
    <t>免疫関連有害事象を含む有害事象に対して、他診療科や他病院と連携する等して対応している。</t>
    <phoneticPr fontId="10"/>
  </si>
  <si>
    <t>ケ</t>
  </si>
  <si>
    <t>薬物療法のレジメンを審査し、組織的に管理する委員会を設置している。</t>
  </si>
  <si>
    <t>③</t>
    <phoneticPr fontId="10"/>
  </si>
  <si>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</si>
  <si>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</si>
  <si>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10"/>
  </si>
  <si>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</si>
  <si>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0"/>
  </si>
  <si>
    <t>別紙８に詳細を記載してください。</t>
    <rPh sb="0" eb="2">
      <t>ベッシ</t>
    </rPh>
    <rPh sb="4" eb="6">
      <t>ショウサイ</t>
    </rPh>
    <rPh sb="7" eb="9">
      <t>キサイ</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</si>
  <si>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10"/>
  </si>
  <si>
    <t>（２）の②のウに規定する看護師は、苦痛の把握の支援や専門的緩和ケアの提供に関する調整等、外来・病棟の看護業務を支援・強化する役割を担っている。</t>
    <rPh sb="62" eb="64">
      <t>ヤクワリ</t>
    </rPh>
    <rPh sb="65" eb="66">
      <t>ニナ</t>
    </rPh>
    <phoneticPr fontId="10"/>
  </si>
  <si>
    <t>主治医及び看護師、公認心理師等と協働し、適切な支援を実施している。</t>
    <phoneticPr fontId="10"/>
  </si>
  <si>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</si>
  <si>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0"/>
  </si>
  <si>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</si>
  <si>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</si>
  <si>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</si>
  <si>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</si>
  <si>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0"/>
  </si>
  <si>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</si>
  <si>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0"/>
  </si>
  <si>
    <t>リンクナース：医療施設において、各種専門チームや委員会と病棟看護師等をつなぐ役割を持つ看護師をいう。</t>
    <phoneticPr fontId="10"/>
  </si>
  <si>
    <t>患者や家族に対し、必要に応じて、アドバンス・ケア・プランニングを含めた意思決定支援を提供できる体制を整備している。</t>
    <phoneticPr fontId="10"/>
  </si>
  <si>
    <t>アドバンス・ケア・プランニング：人生の最終段階の医療・ケアについて、本人が家族等や医療・ケアチームと事前に繰り返し話し合うプロセスのこと。</t>
    <phoneticPr fontId="10"/>
  </si>
  <si>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</si>
  <si>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</si>
  <si>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</si>
  <si>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10"/>
  </si>
  <si>
    <t>別紙７に詳細を記載してください。</t>
    <rPh sb="0" eb="2">
      <t>ベッシ</t>
    </rPh>
    <rPh sb="4" eb="6">
      <t>ショウサイ</t>
    </rPh>
    <rPh sb="7" eb="9">
      <t>キサイ</t>
    </rPh>
    <phoneticPr fontId="10"/>
  </si>
  <si>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</si>
  <si>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</si>
  <si>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10"/>
  </si>
  <si>
    <t>自施設で実施が可能である。</t>
    <rPh sb="0" eb="1">
      <t>ジ</t>
    </rPh>
    <rPh sb="1" eb="3">
      <t>シセツ</t>
    </rPh>
    <rPh sb="7" eb="9">
      <t>カノウ</t>
    </rPh>
    <phoneticPr fontId="10"/>
  </si>
  <si>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0"/>
  </si>
  <si>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</si>
  <si>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</si>
  <si>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</si>
  <si>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</si>
  <si>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</si>
  <si>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0"/>
  </si>
  <si>
    <t>PRO：自覚症状やＱＯＬに関する対応の評価のために行う患者の主観的な報告をまとめた評価のこと。</t>
    <phoneticPr fontId="10"/>
  </si>
  <si>
    <t>それを踏まえて自施設において組織的な改善策を講じる等、緩和ケアの提供体制の改善に努めている。</t>
  </si>
  <si>
    <t>④</t>
    <phoneticPr fontId="10"/>
  </si>
  <si>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</si>
  <si>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</si>
  <si>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</si>
  <si>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</si>
  <si>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</si>
  <si>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</si>
  <si>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</si>
  <si>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</si>
  <si>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</si>
  <si>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10"/>
  </si>
  <si>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</si>
  <si>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</si>
  <si>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10"/>
  </si>
  <si>
    <t>緩和ケアチームが地域の医療機関や在宅療養支援診療所等から定期的に連絡・相談を受ける体制を確保し、
必要に応じて助言等を行っている。</t>
    <phoneticPr fontId="10"/>
  </si>
  <si>
    <t>都道府県や地域の患者会等と連携を図り、患者会等の求めに応じてピア・サポートの質の向上に対する支援等に取り組んでいる。</t>
    <phoneticPr fontId="10"/>
  </si>
  <si>
    <t>ピア・サポート：患者・経験者やその家族がピア（仲間）として体験を共有し、共に考えることで、患者や家族等を支援すること。</t>
    <phoneticPr fontId="10"/>
  </si>
  <si>
    <t>⑤</t>
    <phoneticPr fontId="10"/>
  </si>
  <si>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</si>
  <si>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</si>
  <si>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0"/>
  </si>
  <si>
    <t>がん患者に対するB-010 診療情報提供書（II）の算定件数　（期間：令和５年１月１日～12月31日）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</si>
  <si>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</si>
  <si>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10"/>
  </si>
  <si>
    <t>ウ　</t>
  </si>
  <si>
    <t>セカンドオピニオンを提示する場合は、必要に応じてオンラインでの相談を受け付けることができる体制を確保している。</t>
  </si>
  <si>
    <t>⑥</t>
    <phoneticPr fontId="10"/>
  </si>
  <si>
    <t>それぞれの特性に応じた診療等の提供体制</t>
    <phoneticPr fontId="10"/>
  </si>
  <si>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</si>
  <si>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</si>
  <si>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10"/>
  </si>
  <si>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10"/>
  </si>
  <si>
    <t>自施設において、がん・生殖医療に関する意思決定支援を行うことができる診療従事者の配置・育成に努めている。</t>
    <phoneticPr fontId="10"/>
  </si>
  <si>
    <t>別紙10に詳細を記載してください。</t>
    <rPh sb="0" eb="2">
      <t>ベッシ</t>
    </rPh>
    <rPh sb="5" eb="7">
      <t>ショウサイ</t>
    </rPh>
    <rPh sb="8" eb="10">
      <t>キサイ</t>
    </rPh>
    <phoneticPr fontId="10"/>
  </si>
  <si>
    <t>就学、就労、妊孕性の温存、アピアランスケア等に関する状況や本人の希望についても確認し、自施設もしくは連携施設のがん相談支援センターで対応できる体制を整備している。</t>
    <phoneticPr fontId="10"/>
  </si>
  <si>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10"/>
  </si>
  <si>
    <t>それらの相談に応じる多職種からなるＡＹＡ世代支援チームを設置している。</t>
    <phoneticPr fontId="10"/>
  </si>
  <si>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</si>
  <si>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0"/>
  </si>
  <si>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</si>
  <si>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0"/>
  </si>
  <si>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</si>
  <si>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別紙10に詳細を記載してください。</t>
    <phoneticPr fontId="10"/>
  </si>
  <si>
    <t>医療機関としてのＢＣＰを策定している。</t>
    <phoneticPr fontId="10"/>
  </si>
  <si>
    <t>（２）</t>
    <phoneticPr fontId="10"/>
  </si>
  <si>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</si>
  <si>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10"/>
  </si>
  <si>
    <t>当該施設で対応可能ながんについて専門的な知識及び技能を有する手術療法に携わる常勤の医師の人数</t>
    <rPh sb="44" eb="46">
      <t>ニンズウ</t>
    </rPh>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</si>
  <si>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0"/>
  </si>
  <si>
    <t>専任の放射線診断に携わる専門的な知識及び技能を有する常勤の医師の人数</t>
    <rPh sb="32" eb="34">
      <t>ニンズウ</t>
    </rPh>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</si>
  <si>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10"/>
  </si>
  <si>
    <t>専従の放射線治療に携わる専門的な知識及び技能を有する常勤の医師の人数</t>
    <rPh sb="32" eb="34">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</si>
  <si>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10"/>
  </si>
  <si>
    <t>専従の薬物療法に携わる専門的な知識及び技能を有する常勤の医師の人数</t>
    <rPh sb="31" eb="33">
      <t>ニンズウ</t>
    </rPh>
    <phoneticPr fontId="10"/>
  </si>
  <si>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</si>
  <si>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10"/>
  </si>
  <si>
    <t>緩和ケアチームに配置されている、専従の身体症状の緩和に携わる専門的な知識及び技能を有する常勤の医師の人数</t>
    <rPh sb="16" eb="18">
      <t>センジュウ</t>
    </rPh>
    <rPh sb="50" eb="52">
      <t>ニンズウ</t>
    </rPh>
    <phoneticPr fontId="10"/>
  </si>
  <si>
    <t>緩和ケアチームに配置されている、専任の身体症状の緩和に携わる専門的な知識及び技能を有する常勤の医師のうち、
緩和ケアに関する専門資格を有する者の人数　</t>
    <rPh sb="72" eb="74">
      <t>ニンズウ</t>
    </rPh>
    <phoneticPr fontId="10"/>
  </si>
  <si>
    <t>緩和ケアチームに配置されている、精神症状の緩和に携わる専門的な知識及び技能を有する常勤の医師の人数</t>
    <rPh sb="8" eb="10">
      <t>ハイチ</t>
    </rPh>
    <rPh sb="47" eb="49">
      <t>ニンズウ</t>
    </rPh>
    <phoneticPr fontId="10"/>
  </si>
  <si>
    <t>緩和ケアチームに配置されている、専任の精神症状の緩和に携わる専門的な知識及び技能を有する常勤の医師の人数</t>
    <rPh sb="16" eb="18">
      <t>センニン</t>
    </rPh>
    <phoneticPr fontId="10"/>
  </si>
  <si>
    <t>専従の病理診断に携わる専門的な知識及び技能を有する常勤の医師の人数</t>
    <rPh sb="31" eb="33">
      <t>ニンズウ</t>
    </rPh>
    <phoneticPr fontId="10"/>
  </si>
  <si>
    <t>リハビリテーションに携わる専門的な知識および技能を有する医師の人数</t>
    <phoneticPr fontId="10"/>
  </si>
  <si>
    <t>専門的な知識及び技能を有する医師以外の診療従事者の配置</t>
  </si>
  <si>
    <t>放射線治療に携わる専門的な知識及び技能を有する常勤の診療放射線技師の人数</t>
    <rPh sb="34" eb="36">
      <t>ニンズウ</t>
    </rPh>
    <phoneticPr fontId="10"/>
  </si>
  <si>
    <t>※二人以上の配置が望ましい（＊）。少なくとも一人の配置は必要です。</t>
    <rPh sb="1" eb="2">
      <t>ニ</t>
    </rPh>
    <rPh sb="9" eb="10">
      <t>ノゾ</t>
    </rPh>
    <rPh sb="17" eb="18">
      <t>スク</t>
    </rPh>
    <rPh sb="22" eb="23">
      <t>イチ</t>
    </rPh>
    <rPh sb="28" eb="30">
      <t>ヒツヨウ</t>
    </rPh>
    <phoneticPr fontId="10"/>
  </si>
  <si>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10"/>
  </si>
  <si>
    <t>専従の放射線治療における機器の精度管理、照射計画の検証、照射計画補助作業等に携わる専門的な知識及び技能を有する常勤の技術者等の人数</t>
    <rPh sb="63" eb="65">
      <t>ニンズウ</t>
    </rPh>
    <phoneticPr fontId="10"/>
  </si>
  <si>
    <t>※一人以上の配置が必要です。</t>
    <phoneticPr fontId="10"/>
  </si>
  <si>
    <t>上記の技術者のうち、医学物理学に関する専門資格を有する者の人数</t>
    <rPh sb="0" eb="2">
      <t>ジョウキ</t>
    </rPh>
    <rPh sb="29" eb="30">
      <t>ヒト</t>
    </rPh>
    <rPh sb="30" eb="31">
      <t>カズ</t>
    </rPh>
    <phoneticPr fontId="10"/>
  </si>
  <si>
    <t>放射線治療部門に配置されている、専従の放射線治療に携わる専門的な知識及び技能を有する常勤の看護師の人数</t>
    <rPh sb="8" eb="10">
      <t>ハイチ</t>
    </rPh>
    <rPh sb="49" eb="51">
      <t>ニンズウ</t>
    </rPh>
    <phoneticPr fontId="10"/>
  </si>
  <si>
    <t>上記の看護師のうち、放射線治療に関する専門資格を有する者の人数</t>
    <rPh sb="0" eb="2">
      <t>ジョウキ</t>
    </rPh>
    <rPh sb="3" eb="6">
      <t>カンゴシ</t>
    </rPh>
    <rPh sb="29" eb="31">
      <t>ニンズウ</t>
    </rPh>
    <phoneticPr fontId="10"/>
  </si>
  <si>
    <t>専任の薬物療法に携わる専門的な知識及び技能を有する常勤の薬剤師の人数</t>
    <rPh sb="32" eb="34">
      <t>ニンズウ</t>
    </rPh>
    <phoneticPr fontId="10"/>
  </si>
  <si>
    <t>上記の薬剤師のうち、がん薬物療法に関する専門資格を有する者の人数</t>
    <rPh sb="0" eb="2">
      <t>ジョウキ</t>
    </rPh>
    <rPh sb="30" eb="32">
      <t>ニンズウ</t>
    </rPh>
    <phoneticPr fontId="10"/>
  </si>
  <si>
    <t>外来化学療法室に配置されている、専従の薬物療法に携わる専門的な知識及び技能を有する常勤の看護師の人数</t>
    <rPh sb="8" eb="10">
      <t>ハイチ</t>
    </rPh>
    <rPh sb="48" eb="50">
      <t>ニンズウ</t>
    </rPh>
    <phoneticPr fontId="10"/>
  </si>
  <si>
    <t>上記の看護師のうち、がん看護又はがん薬物療法に関する専門資格を有する者の人数</t>
    <rPh sb="0" eb="2">
      <t>ジョウキ</t>
    </rPh>
    <rPh sb="36" eb="38">
      <t>ニンズウ</t>
    </rPh>
    <phoneticPr fontId="10"/>
  </si>
  <si>
    <t>緩和ケアチームに配置されている、専従の緩和ケアに携わる専門的な知識及び技能を有する常勤の看護師の人数</t>
    <rPh sb="8" eb="10">
      <t>ハイチ</t>
    </rPh>
    <rPh sb="48" eb="50">
      <t>ニンズウ</t>
    </rPh>
    <phoneticPr fontId="10"/>
  </si>
  <si>
    <t>上記の看護師のうち、がん看護又は緩和ケアに関する専門資格を有する者の人数</t>
    <rPh sb="0" eb="2">
      <t>ジョウキ</t>
    </rPh>
    <rPh sb="32" eb="33">
      <t>モノ</t>
    </rPh>
    <rPh sb="34" eb="36">
      <t>ニンズウ</t>
    </rPh>
    <phoneticPr fontId="10"/>
  </si>
  <si>
    <t>緩和ケアチームに配置されている、緩和ケアに携わる専門的な知識及び技能を有する薬剤師の人数　　（他部署との兼任を可とする。）</t>
    <rPh sb="8" eb="10">
      <t>ハイチ</t>
    </rPh>
    <rPh sb="42" eb="44">
      <t>ニンズウ</t>
    </rPh>
    <phoneticPr fontId="10"/>
  </si>
  <si>
    <t>上記の薬剤師のうち、緩和薬物療法に関する専門資格を有する者の人数</t>
    <rPh sb="0" eb="2">
      <t>ジョウキ</t>
    </rPh>
    <rPh sb="30" eb="32">
      <t>ニンズウ</t>
    </rPh>
    <phoneticPr fontId="10"/>
  </si>
  <si>
    <t>緩和ケアチームに配置されている、相談支援に携わる専門的な知識及び技能を有する者の人数　　（他部署との兼任を可とする。）</t>
    <rPh sb="8" eb="10">
      <t>ハイチ</t>
    </rPh>
    <rPh sb="40" eb="42">
      <t>ニンズウ</t>
    </rPh>
    <phoneticPr fontId="10"/>
  </si>
  <si>
    <t>上記エの相談支援に携わる者のうち、社会福祉士である者の人数</t>
    <rPh sb="0" eb="2">
      <t>ジョウキ</t>
    </rPh>
    <rPh sb="25" eb="26">
      <t>モノ</t>
    </rPh>
    <rPh sb="27" eb="29">
      <t>ニンズウ</t>
    </rPh>
    <phoneticPr fontId="10"/>
  </si>
  <si>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10"/>
  </si>
  <si>
    <t>緩和ケアチームに協力する、公認心理師等の医療心理に携わる専門的な知識及び技能を有する者の人数</t>
    <rPh sb="44" eb="46">
      <t>ニンズウ</t>
    </rPh>
    <phoneticPr fontId="10"/>
  </si>
  <si>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10"/>
  </si>
  <si>
    <t>専任の細胞診断に係る業務に携わる専門的な知識及び技能を有する者の人数</t>
    <rPh sb="32" eb="34">
      <t>ニンズウ</t>
    </rPh>
    <phoneticPr fontId="10"/>
  </si>
  <si>
    <t>上記の診療従事者のうち、細胞診断に関する専門資格を有する者の人数</t>
    <rPh sb="0" eb="2">
      <t>ジョウキ</t>
    </rPh>
    <rPh sb="30" eb="32">
      <t>ニンズウ</t>
    </rPh>
    <phoneticPr fontId="10"/>
  </si>
  <si>
    <t>がんのリハビリテーションに係る業務に携わる専門的な知識および技能を有する理学療法士、作業療法士、言語聴覚士等の人数</t>
    <rPh sb="55" eb="57">
      <t>ニンズウ</t>
    </rPh>
    <phoneticPr fontId="10"/>
  </si>
  <si>
    <t>がんのリハビリテーションに係る業務に携わる専門的な知識および技能を有する理学療法士の人数</t>
    <rPh sb="36" eb="38">
      <t>リガク</t>
    </rPh>
    <rPh sb="38" eb="41">
      <t>リョウホウシ</t>
    </rPh>
    <rPh sb="42" eb="44">
      <t>ニンズウ</t>
    </rPh>
    <phoneticPr fontId="10"/>
  </si>
  <si>
    <t>がんのリハビリテーションに係る業務に携わる専門的な知識および技能を有する作業療法士の人数</t>
    <rPh sb="36" eb="38">
      <t>サギョウ</t>
    </rPh>
    <rPh sb="38" eb="41">
      <t>リョウホウシ</t>
    </rPh>
    <rPh sb="42" eb="44">
      <t>ニンズウ</t>
    </rPh>
    <phoneticPr fontId="10"/>
  </si>
  <si>
    <t>がんのリハビリテーションに係る業務に携わる専門的な知識および技能を有する言語聴覚士の人数</t>
    <rPh sb="36" eb="38">
      <t>ゲンゴ</t>
    </rPh>
    <rPh sb="38" eb="41">
      <t>チョウカクシ</t>
    </rPh>
    <phoneticPr fontId="10"/>
  </si>
  <si>
    <t>（３）</t>
    <phoneticPr fontId="10"/>
  </si>
  <si>
    <t>その他の環境整備等</t>
    <phoneticPr fontId="10"/>
  </si>
  <si>
    <t>①</t>
  </si>
  <si>
    <t>患者とその家族が利用可能なインターネット環境を整備している。</t>
  </si>
  <si>
    <t>別紙９に詳細を記載してください。</t>
    <rPh sb="4" eb="6">
      <t>ショウサイ</t>
    </rPh>
    <phoneticPr fontId="10"/>
  </si>
  <si>
    <t>②</t>
  </si>
  <si>
    <t>集学的治療等の内容や治療前後の生活における注意点等に関して、冊子や視聴覚教材等を用いてがん患者及びその家族が自主的に確認できる環境を整備している。</t>
    <phoneticPr fontId="10"/>
  </si>
  <si>
    <t>その冊子や視聴覚教材等はオンラインでも確認できる。</t>
    <phoneticPr fontId="10"/>
  </si>
  <si>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</si>
  <si>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</si>
  <si>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</si>
  <si>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10"/>
  </si>
  <si>
    <t>別紙14に詳細を記載してください。</t>
    <rPh sb="0" eb="2">
      <t>ベッシ</t>
    </rPh>
    <rPh sb="5" eb="7">
      <t>ショウサイ</t>
    </rPh>
    <rPh sb="8" eb="10">
      <t>キサイ</t>
    </rPh>
    <phoneticPr fontId="10"/>
  </si>
  <si>
    <r>
      <rPr>
        <sz val="11"/>
        <rFont val="ＭＳ Ｐゴシック"/>
        <family val="3"/>
        <charset val="128"/>
      </rPr>
      <t>対応方法や関係機関との連携について、関係職種に情報共有を行う体制を構築している。</t>
    </r>
    <phoneticPr fontId="10"/>
  </si>
  <si>
    <t>自施設に精神科、心療内科等がある。</t>
    <phoneticPr fontId="10"/>
  </si>
  <si>
    <t>自施設でがん患者の自殺リスクに対応できる。</t>
    <rPh sb="0" eb="1">
      <t>ジ</t>
    </rPh>
    <rPh sb="1" eb="3">
      <t>シセツ</t>
    </rPh>
    <rPh sb="6" eb="8">
      <t>カンジャ</t>
    </rPh>
    <rPh sb="9" eb="11">
      <t>ジサツ</t>
    </rPh>
    <rPh sb="15" eb="17">
      <t>タイオウ</t>
    </rPh>
    <phoneticPr fontId="10"/>
  </si>
  <si>
    <t>自施設に精神科、心療内科等がない場合は、地域の医療機関と連携体制を確保している。</t>
    <phoneticPr fontId="10"/>
  </si>
  <si>
    <t>自施設に精神科はあるが、自施設単体で対応できない場合も回答してください。</t>
  </si>
  <si>
    <t>３</t>
    <phoneticPr fontId="10"/>
  </si>
  <si>
    <t>診療実績</t>
    <rPh sb="0" eb="2">
      <t>シンリョウ</t>
    </rPh>
    <rPh sb="2" eb="4">
      <t>ジッセキ</t>
    </rPh>
    <phoneticPr fontId="10"/>
  </si>
  <si>
    <t>①または②を概ね満たしている。</t>
    <phoneticPr fontId="10"/>
  </si>
  <si>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10"/>
  </si>
  <si>
    <t>①の項目を全て満たしている。</t>
    <phoneticPr fontId="10"/>
  </si>
  <si>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10"/>
  </si>
  <si>
    <t>同一のがん医療圏内にすでに指定されているがん診療連携拠点病院が存在している。</t>
    <phoneticPr fontId="10"/>
  </si>
  <si>
    <r>
      <rPr>
        <sz val="11"/>
        <color rgb="FF000000"/>
        <rFont val="ＭＳ Ｐゴシック"/>
        <family val="3"/>
        <charset val="128"/>
      </rPr>
      <t>以下の</t>
    </r>
    <r>
      <rPr>
        <sz val="11"/>
        <color rgb="FF3333FF"/>
        <rFont val="ＭＳ Ｐゴシック"/>
        <family val="3"/>
        <charset val="128"/>
      </rPr>
      <t>基準</t>
    </r>
    <r>
      <rPr>
        <sz val="11"/>
        <color rgb="FF000000"/>
        <rFont val="ＭＳ Ｐゴシック"/>
        <family val="3"/>
        <charset val="128"/>
      </rPr>
      <t>をそれぞれ満たしている。（期間：令和５年１月１日～12月31日）</t>
    </r>
    <phoneticPr fontId="10"/>
  </si>
  <si>
    <t>院内がん登録数
（基準：年間500件以上、期間：令和５年１月１日～12月31日）</t>
    <rPh sb="9" eb="11">
      <t>キジュン</t>
    </rPh>
    <phoneticPr fontId="10"/>
  </si>
  <si>
    <t>計上方法：入院、外来は問わない自施設初回治療分。症例区分20および30の数をいう。</t>
    <phoneticPr fontId="10"/>
  </si>
  <si>
    <t>悪性腫瘍の手術件数
（基準：年間400件以上、期間：令和５年１月１日～12月31日）</t>
    <rPh sb="11" eb="13">
      <t>キジュン</t>
    </rPh>
    <phoneticPr fontId="10"/>
  </si>
  <si>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0"/>
  </si>
  <si>
    <t>がんに係る薬物療法のべ患者数
（基準：年間1,000人以上、期間：令和５年１月１日～12月31日）</t>
    <rPh sb="16" eb="18">
      <t>キジュン</t>
    </rPh>
    <phoneticPr fontId="10"/>
  </si>
  <si>
    <t>計上方法：経口、静注または皮下注射による全身投与を対象とする。ただし内分泌療法単独の場合は含めない。なお、患者数については1レジメンあたりを1人として計上する。</t>
    <phoneticPr fontId="10"/>
  </si>
  <si>
    <t>うち、外来化学療法のべ患者数
（期間：令和５年１月１日～12月31日）</t>
    <rPh sb="3" eb="5">
      <t>ガイライ</t>
    </rPh>
    <rPh sb="5" eb="7">
      <t>カガク</t>
    </rPh>
    <rPh sb="7" eb="9">
      <t>リョウホウ</t>
    </rPh>
    <rPh sb="11" eb="14">
      <t>カンジャスウ</t>
    </rPh>
    <phoneticPr fontId="10"/>
  </si>
  <si>
    <t>放射線治療のべ患者数
（基準：年間200人以上、期間：令和５年１月１日～12月31日）</t>
    <rPh sb="12" eb="14">
      <t>キジュン</t>
    </rPh>
    <phoneticPr fontId="10"/>
  </si>
  <si>
    <t>計上方法：医科診療報酬点数表第2章第12部の放射線治療に含まれるものとする。ただし、血液照射は除く。なお、患者数については複数部位照射する場合でも、一連の治療計画であれば1人として計上する。</t>
    <rPh sb="0" eb="2">
      <t>ケイジョウ</t>
    </rPh>
    <rPh sb="2" eb="4">
      <t>ホウホウ</t>
    </rPh>
    <rPh sb="7" eb="9">
      <t>シンリョウ</t>
    </rPh>
    <rPh sb="9" eb="11">
      <t>ホウシュウ</t>
    </rPh>
    <phoneticPr fontId="10"/>
  </si>
  <si>
    <t>緩和ケアチームの新規介入患者数　　
（基準：年間50人以上、期間：令和５年１月１日～12月31日）</t>
    <rPh sb="19" eb="21">
      <t>キジュン</t>
    </rPh>
    <phoneticPr fontId="10"/>
  </si>
  <si>
    <t>計上方法：患者数については同一入院期間内であれば複数回介入しても1人として計上する。</t>
    <rPh sb="0" eb="2">
      <t>ケイジョウ</t>
    </rPh>
    <rPh sb="2" eb="4">
      <t>ホウホウ</t>
    </rPh>
    <phoneticPr fontId="10"/>
  </si>
  <si>
    <t>当該がん医療圏に居住するがん患者のうち、２割程度について診療実績がある。</t>
    <phoneticPr fontId="10"/>
  </si>
  <si>
    <t>算出方法については、「（参考）診療割合算出法」シートを適宜ご参照ください。</t>
    <rPh sb="0" eb="2">
      <t>サンシュツ</t>
    </rPh>
    <rPh sb="2" eb="4">
      <t>ホウホウ</t>
    </rPh>
    <rPh sb="27" eb="29">
      <t>テキギ</t>
    </rPh>
    <rPh sb="30" eb="32">
      <t>サンショウ</t>
    </rPh>
    <phoneticPr fontId="10"/>
  </si>
  <si>
    <t>当該がん医療圏に居住するがん患者の診療実績の割合（％）</t>
    <rPh sb="17" eb="19">
      <t>シンリョウ</t>
    </rPh>
    <rPh sb="19" eb="21">
      <t>ジッセキ</t>
    </rPh>
    <rPh sb="22" eb="24">
      <t>ワリアイ</t>
    </rPh>
    <phoneticPr fontId="10"/>
  </si>
  <si>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0"/>
  </si>
  <si>
    <t>①を概ね満たしている。</t>
  </si>
  <si>
    <t>「①を概ね満たすこと」については、「アからオのそれぞれの９割以上であること」と定義されている。</t>
    <rPh sb="39" eb="41">
      <t>テイギ</t>
    </rPh>
    <phoneticPr fontId="10"/>
  </si>
  <si>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</si>
  <si>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</si>
  <si>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</si>
  <si>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</si>
  <si>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10"/>
  </si>
  <si>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</si>
  <si>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</si>
  <si>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10"/>
  </si>
  <si>
    <t>４</t>
    <phoneticPr fontId="10"/>
  </si>
  <si>
    <t>人材育成等</t>
    <phoneticPr fontId="10"/>
  </si>
  <si>
    <t>（１）</t>
  </si>
  <si>
    <t>自施設において、２に掲げる診療体制その他要件に関連する取組のために必要な人材の確保や育成に積極的に取り組んでいる。</t>
    <phoneticPr fontId="10"/>
  </si>
  <si>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</si>
  <si>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0"/>
  </si>
  <si>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</si>
  <si>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</si>
  <si>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</si>
  <si>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10"/>
  </si>
  <si>
    <t>自施設の長、および自施設に所属する臨床研修医及び１年以上自施設に所属するがん診療に携わる医師・歯科医師が当該研修を修了する体制を整備している。</t>
    <phoneticPr fontId="10"/>
  </si>
  <si>
    <t>受講率を現況報告において以下の通り報告する。</t>
    <rPh sb="12" eb="14">
      <t>イカ</t>
    </rPh>
    <rPh sb="15" eb="16">
      <t>トオ</t>
    </rPh>
    <phoneticPr fontId="10"/>
  </si>
  <si>
    <t>うち当該研修会修了者数</t>
  </si>
  <si>
    <t>受講率（％）</t>
    <phoneticPr fontId="10"/>
  </si>
  <si>
    <t>１年以上自施設に所属するがん診療に携わる医師・歯科医師の人数（初期臨床研修医を除く）</t>
    <rPh sb="31" eb="33">
      <t>ショキ</t>
    </rPh>
    <phoneticPr fontId="10"/>
  </si>
  <si>
    <t>医師・歯科医師と協働し、緩和ケアに従事するその他の診療従事者についても受講を促している。</t>
    <phoneticPr fontId="10"/>
  </si>
  <si>
    <t>研修修了者について、患者とその家族に対してわかりやすく情報提供している。</t>
    <rPh sb="29" eb="31">
      <t>テイキョウ</t>
    </rPh>
    <phoneticPr fontId="10"/>
  </si>
  <si>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</si>
  <si>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</si>
  <si>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</si>
  <si>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</si>
  <si>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</si>
  <si>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</si>
  <si>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0"/>
  </si>
  <si>
    <t>令和５年１月１日～12月31日の開催回数</t>
  </si>
  <si>
    <t>令和５年１月１日～12月31日の期間に実施した研修のうち、代表的な内容を一つ記載してください。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</si>
  <si>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</si>
  <si>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</si>
  <si>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0"/>
  </si>
  <si>
    <t>（８）</t>
  </si>
  <si>
    <t>医科歯科連携による口腔健康管理を推進するために、歯科医師等を対象とするがん患者の口腔健康管理等の研修の実施に協力している。</t>
  </si>
  <si>
    <t>５</t>
    <phoneticPr fontId="10"/>
  </si>
  <si>
    <t>相談支援及び情報の収集提供</t>
    <phoneticPr fontId="10"/>
  </si>
  <si>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</si>
  <si>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10"/>
  </si>
  <si>
    <t>別紙11に詳細を記載してください。</t>
    <rPh sb="0" eb="2">
      <t>ベッシ</t>
    </rPh>
    <rPh sb="5" eb="7">
      <t>ショウサイ</t>
    </rPh>
    <rPh sb="8" eb="10">
      <t>キサイ</t>
    </rPh>
    <phoneticPr fontId="10"/>
  </si>
  <si>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</si>
  <si>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0"/>
  </si>
  <si>
    <t>情報取得や意思疎通に配慮が必要な者に対するマニュアルを作成している</t>
    <phoneticPr fontId="10"/>
  </si>
  <si>
    <t>国立がん研究センターによるがん相談支援センター相談員基礎研修（１）～（３）を修了した専従及び専任の相談支援に携わる者をそれぞれ１人ずつ配置している。</t>
    <phoneticPr fontId="10"/>
  </si>
  <si>
    <t>別紙13に詳細を記載してください。</t>
    <rPh sb="0" eb="2">
      <t>ベッシ</t>
    </rPh>
    <rPh sb="5" eb="7">
      <t>ショウサイ</t>
    </rPh>
    <rPh sb="8" eb="10">
      <t>キサイ</t>
    </rPh>
    <phoneticPr fontId="10"/>
  </si>
  <si>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10"/>
  </si>
  <si>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10"/>
  </si>
  <si>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10"/>
  </si>
  <si>
    <t>当該相談支援に携わる者のうち１名は、社会福祉士である。</t>
    <phoneticPr fontId="10"/>
  </si>
  <si>
    <t>がん相談支援センター相談員基礎研修（１）～（３）を修了した専従もしくは専任の相談支援に携わる者のうち、社会福祉士の人数</t>
    <rPh sb="35" eb="37">
      <t>センニン</t>
    </rPh>
    <rPh sb="57" eb="59">
      <t>ニンズウ</t>
    </rPh>
    <phoneticPr fontId="10"/>
  </si>
  <si>
    <t>一人以上配置されていることが望ましい</t>
    <rPh sb="0" eb="2">
      <t>ヒトリ</t>
    </rPh>
    <rPh sb="2" eb="4">
      <t>イジョウ</t>
    </rPh>
    <rPh sb="4" eb="6">
      <t>ハイチ</t>
    </rPh>
    <rPh sb="14" eb="15">
      <t>ノゾ</t>
    </rPh>
    <phoneticPr fontId="10"/>
  </si>
  <si>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</si>
  <si>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10"/>
  </si>
  <si>
    <t>別紙12に詳細を記載してください。</t>
    <rPh sb="0" eb="2">
      <t>ベッシ</t>
    </rPh>
    <rPh sb="5" eb="7">
      <t>ショウサイ</t>
    </rPh>
    <rPh sb="8" eb="10">
      <t>キサイ</t>
    </rPh>
    <phoneticPr fontId="10"/>
  </si>
  <si>
    <t>相談支援に関し十分な経験を有するがん患者団体との連携協力体制の構築に積極的に取り組んでいる。</t>
    <phoneticPr fontId="10"/>
  </si>
  <si>
    <t>別紙14に詳細を記載してください。</t>
    <phoneticPr fontId="10"/>
  </si>
  <si>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</si>
  <si>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0"/>
  </si>
  <si>
    <t>別紙13に具体的な取り組みを記載してください。</t>
    <rPh sb="0" eb="2">
      <t>ベッシ</t>
    </rPh>
    <rPh sb="5" eb="8">
      <t>グタイテキ</t>
    </rPh>
    <rPh sb="9" eb="10">
      <t>ト</t>
    </rPh>
    <rPh sb="11" eb="12">
      <t>ク</t>
    </rPh>
    <rPh sb="14" eb="16">
      <t>キサイ</t>
    </rPh>
    <phoneticPr fontId="10"/>
  </si>
  <si>
    <t>治療に備えた事前の面談や準備のフローに組み込む等、診療の経過の中で患者が必要とするときに確実に利用できるよう
繰り返し案内を行っている。</t>
    <phoneticPr fontId="10"/>
  </si>
  <si>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</si>
  <si>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</si>
  <si>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0"/>
  </si>
  <si>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</si>
  <si>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</si>
  <si>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</si>
  <si>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10"/>
  </si>
  <si>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</si>
  <si>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</si>
  <si>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</si>
  <si>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</si>
  <si>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</si>
  <si>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</si>
  <si>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10"/>
  </si>
  <si>
    <t>オンライン環境でも開催できる。</t>
    <phoneticPr fontId="10"/>
  </si>
  <si>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</si>
  <si>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</si>
  <si>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</si>
  <si>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</si>
  <si>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10"/>
  </si>
  <si>
    <t>別紙16に詳細を記載してください。</t>
    <rPh sb="0" eb="2">
      <t>ベッシ</t>
    </rPh>
    <rPh sb="5" eb="7">
      <t>ショウサイ</t>
    </rPh>
    <rPh sb="8" eb="10">
      <t>キサイ</t>
    </rPh>
    <phoneticPr fontId="10"/>
  </si>
  <si>
    <t>中級認定者の認定を受けている、専従の院内がん登録の実務を担う者の人数</t>
    <rPh sb="32" eb="34">
      <t>ニンズウ</t>
    </rPh>
    <phoneticPr fontId="10"/>
  </si>
  <si>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</si>
  <si>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</si>
  <si>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</si>
  <si>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</si>
  <si>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</si>
  <si>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</si>
  <si>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10"/>
  </si>
  <si>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0"/>
  </si>
  <si>
    <t>提供できる治療・支援の内容を広報している。</t>
    <rPh sb="0" eb="2">
      <t>テイキョウ</t>
    </rPh>
    <rPh sb="5" eb="7">
      <t>チリョウ</t>
    </rPh>
    <rPh sb="8" eb="10">
      <t>シエン</t>
    </rPh>
    <rPh sb="11" eb="13">
      <t>ナイヨウ</t>
    </rPh>
    <rPh sb="14" eb="16">
      <t>コウホウ</t>
    </rPh>
    <phoneticPr fontId="10"/>
  </si>
  <si>
    <t>小児がんへの治療及び支援を自施設もしくは連携する施設への紹介等で提供できる。</t>
    <phoneticPr fontId="10"/>
  </si>
  <si>
    <t>AYA世代のがんへの治療及び支援を自施設もしくは連携する施設への紹介等で提供できる。</t>
    <rPh sb="3" eb="5">
      <t>セダイ</t>
    </rPh>
    <phoneticPr fontId="10"/>
  </si>
  <si>
    <t>妊孕性温存療法を自施設もしくは連携する施設への紹介等で提供できる。</t>
    <rPh sb="0" eb="3">
      <t>ニンヨウセイ</t>
    </rPh>
    <rPh sb="3" eb="5">
      <t>オンゾン</t>
    </rPh>
    <rPh sb="5" eb="7">
      <t>リョウホウ</t>
    </rPh>
    <phoneticPr fontId="10"/>
  </si>
  <si>
    <t>がんゲノム医療への治療及び支援を自施設もしくは連携する施設への紹介等で提供できる。</t>
    <rPh sb="5" eb="7">
      <t>イリョウ</t>
    </rPh>
    <phoneticPr fontId="10"/>
  </si>
  <si>
    <t>大規模災害や感染症の流行などにより自院の診療状況に変化が生じた場合には、速やかに情報公開をするよう努めている。</t>
    <phoneticPr fontId="10"/>
  </si>
  <si>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</si>
  <si>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</si>
  <si>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10"/>
  </si>
  <si>
    <t>地域を対象として実施した、がんに関するセミナー等の開催回数（総数）</t>
    <rPh sb="8" eb="10">
      <t>ジッシ</t>
    </rPh>
    <phoneticPr fontId="10"/>
  </si>
  <si>
    <t>地域の定義としては少なくとも市民を含むこと。</t>
    <phoneticPr fontId="10"/>
  </si>
  <si>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</si>
  <si>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</si>
  <si>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0"/>
  </si>
  <si>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</si>
  <si>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0"/>
  </si>
  <si>
    <t>６</t>
    <phoneticPr fontId="10"/>
  </si>
  <si>
    <t>臨床研究及び調査研究</t>
    <phoneticPr fontId="10"/>
  </si>
  <si>
    <t>政策的公衆衛生的に必要性の高い調査研究に協力している。</t>
  </si>
  <si>
    <t>これらの研究の協力依頼に対応する窓口の連絡先を国立がん研究センターに登録する。</t>
    <phoneticPr fontId="10"/>
  </si>
  <si>
    <t>別紙18に記載してください。</t>
    <rPh sb="0" eb="2">
      <t>ベッシ</t>
    </rPh>
    <rPh sb="5" eb="7">
      <t>キサイ</t>
    </rPh>
    <phoneticPr fontId="10"/>
  </si>
  <si>
    <t>治験を含む医薬品等の臨床研究を行う場合は、臨床研究コーディネーター（ＣＲＣ）を配置すること。</t>
    <phoneticPr fontId="10"/>
  </si>
  <si>
    <t>委託も可</t>
    <rPh sb="0" eb="2">
      <t>イタク</t>
    </rPh>
    <rPh sb="3" eb="4">
      <t>カ</t>
    </rPh>
    <phoneticPr fontId="10"/>
  </si>
  <si>
    <t>治験を含む医薬品等の臨床研究を行っている。</t>
  </si>
  <si>
    <t>臨床研究コーディネーターを配置している。</t>
    <rPh sb="0" eb="2">
      <t>リンショウ</t>
    </rPh>
    <rPh sb="2" eb="4">
      <t>ケンキュウ</t>
    </rPh>
    <rPh sb="13" eb="15">
      <t>ハイチ</t>
    </rPh>
    <phoneticPr fontId="10"/>
  </si>
  <si>
    <t>274が"はい"の場合は要件区分がAになります。</t>
    <phoneticPr fontId="10"/>
  </si>
  <si>
    <t>臨床研究コーディネーターとして勤務している者の人数</t>
    <rPh sb="15" eb="17">
      <t>キンム</t>
    </rPh>
    <rPh sb="21" eb="22">
      <t>モノ</t>
    </rPh>
    <rPh sb="23" eb="25">
      <t>ニンズウ</t>
    </rPh>
    <phoneticPr fontId="10"/>
  </si>
  <si>
    <t>治験を除く医薬品等の臨床研究を行う場合は、臨床研究法に則った体制を整備すること。</t>
    <phoneticPr fontId="10"/>
  </si>
  <si>
    <t>治験を除く医薬品等の臨床研究を行っている。</t>
    <phoneticPr fontId="10"/>
  </si>
  <si>
    <t>臨床研究法に則った体制を整備している。</t>
    <phoneticPr fontId="10"/>
  </si>
  <si>
    <t>278が"はい"の場合は要件区分がAになります。</t>
    <phoneticPr fontId="10"/>
  </si>
  <si>
    <t>実施内容の広報等に努めている。</t>
  </si>
  <si>
    <t>７</t>
    <phoneticPr fontId="10"/>
  </si>
  <si>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</si>
  <si>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</si>
  <si>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</si>
  <si>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</si>
  <si>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10"/>
  </si>
  <si>
    <t>日本医療機能評価機構の審査等の第三者による評価を受けている。</t>
    <phoneticPr fontId="10"/>
  </si>
  <si>
    <t>別紙20に詳細を記載してください。
日本医療機能評価機構に加え、JCI、ISO9001の認定も該当する。</t>
    <phoneticPr fontId="10"/>
  </si>
  <si>
    <t>第三者の名称</t>
    <rPh sb="0" eb="3">
      <t>ダイサンシャ</t>
    </rPh>
    <rPh sb="4" eb="6">
      <t>メイショウ</t>
    </rPh>
    <phoneticPr fontId="10"/>
  </si>
  <si>
    <t>別紙20に詳細を記載してください。</t>
  </si>
  <si>
    <t>直近で評価を受けたタイミング（YYYY/MM、例：202309）</t>
    <rPh sb="0" eb="2">
      <t>チョッキン</t>
    </rPh>
    <rPh sb="3" eb="5">
      <t>ヒョウカ</t>
    </rPh>
    <rPh sb="6" eb="7">
      <t>ウ</t>
    </rPh>
    <phoneticPr fontId="10"/>
  </si>
  <si>
    <t>８</t>
    <phoneticPr fontId="10"/>
  </si>
  <si>
    <t>グループ指定</t>
    <phoneticPr fontId="10"/>
  </si>
  <si>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</si>
  <si>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10"/>
  </si>
  <si>
    <t>別紙27に詳細を記載してください。</t>
    <rPh sb="0" eb="2">
      <t>ベッシ</t>
    </rPh>
    <rPh sb="5" eb="7">
      <t>ショウサイ</t>
    </rPh>
    <rPh sb="8" eb="10">
      <t>キサイ</t>
    </rPh>
    <phoneticPr fontId="10"/>
  </si>
  <si>
    <t>連携協力により手術療法、放射線療法、薬物療法を提供する体制を整備している。</t>
    <rPh sb="30" eb="32">
      <t>セイビ</t>
    </rPh>
    <phoneticPr fontId="10"/>
  </si>
  <si>
    <t>標準的な薬物療法を提供するためのレジメンの審査等における支援を行っている。</t>
    <rPh sb="31" eb="32">
      <t>オコナ</t>
    </rPh>
    <phoneticPr fontId="10"/>
  </si>
  <si>
    <t>確実な連携体制を確保するための定期的な合同カンファレンスの開催を行っている。</t>
    <rPh sb="32" eb="33">
      <t>オコナ</t>
    </rPh>
    <phoneticPr fontId="10"/>
  </si>
  <si>
    <t>連携協力により相談支援や緩和ケアを充実させる体制を整備している。</t>
    <rPh sb="25" eb="27">
      <t>セイビ</t>
    </rPh>
    <phoneticPr fontId="10"/>
  </si>
  <si>
    <t>診療機能確保のための支援等に関する人材交流の計画策定及び実行の体制を整備している。</t>
    <rPh sb="31" eb="33">
      <t>タイセイ</t>
    </rPh>
    <rPh sb="34" eb="36">
      <t>セイビ</t>
    </rPh>
    <phoneticPr fontId="10"/>
  </si>
  <si>
    <t>診療機能確保のための診療情報の共有体制を整備している。</t>
    <rPh sb="20" eb="22">
      <t>セイビ</t>
    </rPh>
    <phoneticPr fontId="10"/>
  </si>
  <si>
    <t>病院ホームページ、パンフレット等による連携先の地域がん診療病院名やその連携内容、連携実績等についてわかりやすく広報している。</t>
    <phoneticPr fontId="10"/>
  </si>
  <si>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</si>
  <si>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10"/>
  </si>
  <si>
    <t>他の拠点病院等に対する医師の派遣や人材育成による診療支援に積極的に取り組んでいる。</t>
    <phoneticPr fontId="10"/>
  </si>
  <si>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10"/>
  </si>
  <si>
    <t>都道府県がん診療連携拠点病院の指定要件について</t>
    <phoneticPr fontId="10"/>
  </si>
  <si>
    <t>１</t>
    <phoneticPr fontId="10"/>
  </si>
  <si>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</si>
  <si>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</si>
  <si>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</si>
  <si>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</si>
  <si>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10"/>
  </si>
  <si>
    <t>都道府県協議会の開催回数（期間：令和５年４月１日～令和６年３月31日）</t>
  </si>
  <si>
    <t>都道府県における相談支援機能強化に向けた要件</t>
    <rPh sb="0" eb="4">
      <t>トドウフケン</t>
    </rPh>
    <rPh sb="1" eb="4">
      <t>ドウフケン</t>
    </rPh>
    <phoneticPr fontId="10"/>
  </si>
  <si>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</si>
  <si>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10"/>
  </si>
  <si>
    <t>相談支援に携わる者のうち、少なくとも１人は国立がん研究センターによる相談員指導者研修を修了している。</t>
    <phoneticPr fontId="10"/>
  </si>
  <si>
    <t>相談支援に携わる者のうち、国立がん研究センターによる相談員指導者研修を修了している者の人数</t>
    <rPh sb="41" eb="42">
      <t>モノ</t>
    </rPh>
    <rPh sb="43" eb="45">
      <t>ニンズウ</t>
    </rPh>
    <phoneticPr fontId="10"/>
  </si>
  <si>
    <t>一人以上配置が必要</t>
    <rPh sb="0" eb="2">
      <t>ヒトリ</t>
    </rPh>
    <rPh sb="2" eb="4">
      <t>イジョウ</t>
    </rPh>
    <rPh sb="4" eb="6">
      <t>ハイチ</t>
    </rPh>
    <rPh sb="7" eb="9">
      <t>ヒツヨウ</t>
    </rPh>
    <phoneticPr fontId="10"/>
  </si>
  <si>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</si>
  <si>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10"/>
  </si>
  <si>
    <t>当該都道府県の拠点病院等の相談支援に携わる者に対する継続的かつ系統的な研修を行っている。</t>
  </si>
  <si>
    <t>都道府県拠点病院の診療機能強化に向けた要件</t>
    <phoneticPr fontId="10"/>
  </si>
  <si>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10"/>
  </si>
  <si>
    <t>別紙21に詳細を記載してください。</t>
    <rPh sb="0" eb="2">
      <t>ベッシ</t>
    </rPh>
    <rPh sb="5" eb="7">
      <t>ショウサイ</t>
    </rPh>
    <rPh sb="8" eb="10">
      <t>キサイ</t>
    </rPh>
    <phoneticPr fontId="10"/>
  </si>
  <si>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</si>
  <si>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</si>
  <si>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</si>
  <si>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</si>
  <si>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10"/>
  </si>
  <si>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</si>
  <si>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</si>
  <si>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10"/>
  </si>
  <si>
    <t>当該医師については、常勤であり、かつ、院内において管理的立場の医師である。</t>
    <phoneticPr fontId="10"/>
  </si>
  <si>
    <t>緊急緩和ケア病床を担当する専門的な知識及び技能を有する常勤の医師を１人以上配置している。
（なお、Ⅱの２の（２）の①のオに規定する緩和ケアチームの医師との兼任を可とする。）</t>
    <phoneticPr fontId="10"/>
  </si>
  <si>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</si>
  <si>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</si>
  <si>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</si>
  <si>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</si>
  <si>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10"/>
  </si>
  <si>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</si>
  <si>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10"/>
  </si>
  <si>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</si>
  <si>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10"/>
  </si>
  <si>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10"/>
  </si>
  <si>
    <t>ジェネラルマネージャーを中心に、歯科医師や医療心理に携わる者、理学療法士、管理栄養士、歯科衛生士等の
診療従事者が連携している。</t>
    <phoneticPr fontId="10"/>
  </si>
  <si>
    <t>特定領域がん診療連携拠点病院の指定要件について</t>
    <phoneticPr fontId="10"/>
  </si>
  <si>
    <t>特定のがんについて、集学的治療等を提供する体制を有している。</t>
    <phoneticPr fontId="10"/>
  </si>
  <si>
    <t>別紙22に詳細を記載してください。</t>
    <rPh sb="0" eb="2">
      <t>ベッシ</t>
    </rPh>
    <rPh sb="5" eb="7">
      <t>ショウサイ</t>
    </rPh>
    <rPh sb="8" eb="10">
      <t>キサイ</t>
    </rPh>
    <phoneticPr fontId="10"/>
  </si>
  <si>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10"/>
  </si>
  <si>
    <t>標準的治療等がん患者の状態に応じた適切な治療を提供している。</t>
  </si>
  <si>
    <t>当該がんについて当該都道府県内で最も多くの患者を診療している。</t>
    <phoneticPr fontId="10"/>
  </si>
  <si>
    <t>Ⅱに規定する地域拠点病院の指定要件を満たしている。</t>
    <phoneticPr fontId="10"/>
  </si>
  <si>
    <t>12～290に関して、区分Aの要件に未充足がない場合に”はい”を選択してください。</t>
    <phoneticPr fontId="10"/>
  </si>
  <si>
    <t>緊急対応が必要な患者や合併症を持ち高度な管理が必要な患者に対して拠点病院等と連携し適切ながん医療の提供を行っている。</t>
    <phoneticPr fontId="10"/>
  </si>
  <si>
    <t>別紙23に詳細を記載してください。</t>
    <rPh sb="0" eb="2">
      <t>ベッシ</t>
    </rPh>
    <rPh sb="5" eb="7">
      <t>ショウサイ</t>
    </rPh>
    <rPh sb="8" eb="10">
      <t>キサイ</t>
    </rPh>
    <phoneticPr fontId="10"/>
  </si>
  <si>
    <t>特定領域における高い診療技術や知識を共有する観点から、拠点病院等との人材交流、合同のカンファレンス、診療業務や相談支援業務における情報共有等を行うよう努めている。</t>
    <phoneticPr fontId="10"/>
  </si>
  <si>
    <t>別紙24に詳細を記載してください。</t>
    <rPh sb="0" eb="2">
      <t>ベッシ</t>
    </rPh>
    <phoneticPr fontId="10"/>
  </si>
  <si>
    <t>地域がん診療病院の指定要件について</t>
    <phoneticPr fontId="10"/>
  </si>
  <si>
    <t>都道府県協議会における役割</t>
    <phoneticPr fontId="10"/>
  </si>
  <si>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</si>
  <si>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</si>
  <si>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10"/>
  </si>
  <si>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10"/>
  </si>
  <si>
    <t>別紙25に詳細を記載してください。</t>
    <rPh sb="0" eb="2">
      <t>ベッシ</t>
    </rPh>
    <phoneticPr fontId="10"/>
  </si>
  <si>
    <t>確実な連携体制を確保するため、グループ指定を受けるがん診療連携拠点病院と定期的な合同のカンファレンスを開催している。</t>
    <phoneticPr fontId="10"/>
  </si>
  <si>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</si>
  <si>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</si>
  <si>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</si>
  <si>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10"/>
  </si>
  <si>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</si>
  <si>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</si>
  <si>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</si>
  <si>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</si>
  <si>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10"/>
  </si>
  <si>
    <t>特に、集学的治療等を提供することが困難な場合における専門的な知識及び技能を有する医師等の定期的な派遣の依頼、専門外来の設置等に努めている。</t>
    <phoneticPr fontId="10"/>
  </si>
  <si>
    <t>別紙３に詳細を記載してください。</t>
    <rPh sb="0" eb="2">
      <t>ベッシ</t>
    </rPh>
    <phoneticPr fontId="10"/>
  </si>
  <si>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</si>
  <si>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</si>
  <si>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</si>
  <si>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10"/>
  </si>
  <si>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</si>
  <si>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10"/>
  </si>
  <si>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</si>
  <si>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</si>
  <si>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</si>
  <si>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</si>
  <si>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10"/>
  </si>
  <si>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</si>
  <si>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10"/>
  </si>
  <si>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</si>
  <si>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10"/>
  </si>
  <si>
    <t>その際、厚生労働省院内感染対策サーベイランス事業（ＪＡＮＩＳ）へ登録している。</t>
    <phoneticPr fontId="10"/>
  </si>
  <si>
    <t>設備や人材配置の点から放射線治療の提供が困難である場合には、グループ指定を受けるがん診療連携拠点病院と連携することにより放射線治療を提供できる体制を整備すること。</t>
    <phoneticPr fontId="10"/>
  </si>
  <si>
    <t>380行目・381行目のいずれかが”はい”の場合のみ、自動的に”はい”が選択されます。</t>
    <rPh sb="27" eb="29">
      <t>ジドウ</t>
    </rPh>
    <rPh sb="29" eb="30">
      <t>テキ</t>
    </rPh>
    <rPh sb="36" eb="38">
      <t>センタク</t>
    </rPh>
    <phoneticPr fontId="10"/>
  </si>
  <si>
    <t>自施設で放射線治療を提供している。</t>
    <rPh sb="0" eb="1">
      <t>ジ</t>
    </rPh>
    <rPh sb="1" eb="3">
      <t>シセツ</t>
    </rPh>
    <rPh sb="4" eb="7">
      <t>ホウシャセン</t>
    </rPh>
    <rPh sb="7" eb="9">
      <t>チリョウ</t>
    </rPh>
    <rPh sb="10" eb="12">
      <t>テイキョウ</t>
    </rPh>
    <phoneticPr fontId="10"/>
  </si>
  <si>
    <t>グループ指定を受けるがん診療連携拠点病院と連携することにより放射線治療を提供できる体制を整備している。</t>
    <phoneticPr fontId="10"/>
  </si>
  <si>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10"/>
  </si>
  <si>
    <t>●リニアックについて（※自施設で実施している場合のみ）</t>
    <phoneticPr fontId="10"/>
  </si>
  <si>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10"/>
  </si>
  <si>
    <t>カ</t>
    <phoneticPr fontId="10"/>
  </si>
  <si>
    <t>外来化学療法を実施しているがん患者が急変時等の緊急時に入院できる体制を確保している。</t>
    <phoneticPr fontId="10"/>
  </si>
  <si>
    <t>キ</t>
    <phoneticPr fontId="10"/>
  </si>
  <si>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</si>
  <si>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</si>
  <si>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</si>
  <si>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</si>
  <si>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</si>
  <si>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10"/>
  </si>
  <si>
    <t>別紙５に詳細を記載してください。</t>
    <rPh sb="0" eb="2">
      <t>ベッシ</t>
    </rPh>
    <phoneticPr fontId="10"/>
  </si>
  <si>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</si>
  <si>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</si>
  <si>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</si>
  <si>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</si>
  <si>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10"/>
  </si>
  <si>
    <t>別紙７に詳細を記載してください。</t>
    <rPh sb="0" eb="2">
      <t>ベッシ</t>
    </rPh>
    <phoneticPr fontId="10"/>
  </si>
  <si>
    <t>412行目・413行目のいずれかが”はい”の場合のみ、自動的に”はい”が選択されます。</t>
    <rPh sb="27" eb="29">
      <t>ジドウ</t>
    </rPh>
    <rPh sb="29" eb="30">
      <t>テキ</t>
    </rPh>
    <rPh sb="36" eb="38">
      <t>センタク</t>
    </rPh>
    <phoneticPr fontId="10"/>
  </si>
  <si>
    <t>PRO：自覚症状やＱＯＬに関する対応の評価のために行う患者の主観的な報告をまとめた評価のこと。</t>
  </si>
  <si>
    <t>別紙29に詳細を記載してください。</t>
    <rPh sb="0" eb="2">
      <t>ベッシ</t>
    </rPh>
    <phoneticPr fontId="10"/>
  </si>
  <si>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</si>
  <si>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</si>
  <si>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</si>
  <si>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</si>
  <si>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</si>
  <si>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</si>
  <si>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10"/>
  </si>
  <si>
    <t>また、意思決定能力を含む機能評価を行い、各種ガイドラインに沿って、個別の状況を踏まえた対応をしている。</t>
    <phoneticPr fontId="10"/>
  </si>
  <si>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</si>
  <si>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</si>
  <si>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10"/>
  </si>
  <si>
    <t>対応可能ながんについて専門的な知識及び技能を有する手術療法に携わる医師の人数</t>
    <rPh sb="36" eb="38">
      <t>ニンズウ</t>
    </rPh>
    <phoneticPr fontId="10"/>
  </si>
  <si>
    <t>※一人以上の配置が必要です。</t>
    <rPh sb="1" eb="3">
      <t>ヒトリ</t>
    </rPh>
    <rPh sb="3" eb="5">
      <t>イジョウ</t>
    </rPh>
    <rPh sb="6" eb="8">
      <t>ハイチ</t>
    </rPh>
    <rPh sb="9" eb="11">
      <t>ヒツヨウ</t>
    </rPh>
    <phoneticPr fontId="10"/>
  </si>
  <si>
    <t>専従の放射線治療に携わる専門的な知識及び技能を有する医師の人数（※放射線治療を実施する場合）</t>
    <rPh sb="29" eb="31">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</si>
  <si>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10"/>
  </si>
  <si>
    <t>専任の薬物療法に携わる専門的な知識及び技能を有する常勤の医師の人数</t>
    <rPh sb="31" eb="33">
      <t>ニンズウ</t>
    </rPh>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</si>
  <si>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</si>
  <si>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10"/>
  </si>
  <si>
    <t>当該医師のうち専従の者の人数</t>
  </si>
  <si>
    <t>緩和ケアチームに配置されている、精神症状の緩和に携わる専門的な知識及び技能を有する医師の人数</t>
    <rPh sb="8" eb="10">
      <t>ハイチ</t>
    </rPh>
    <rPh sb="44" eb="46">
      <t>ニンズウ</t>
    </rPh>
    <phoneticPr fontId="10"/>
  </si>
  <si>
    <t>当該医師のうち、専任の者の人数</t>
  </si>
  <si>
    <t>当該医師のうち、常勤の者の人数</t>
  </si>
  <si>
    <t>専任の病理診断に携わる専門的な知識及び技能を有する医師の人数</t>
    <rPh sb="28" eb="30">
      <t>ニンズウ</t>
    </rPh>
    <phoneticPr fontId="10"/>
  </si>
  <si>
    <t>専門的な知識及び技能を有する医師以外の診療従事者の配置</t>
    <phoneticPr fontId="10"/>
  </si>
  <si>
    <t>放射線治療に携わる専門的な知識及び技能を有する常勤の診療放射線技師を２人以上配置している。（放射線治療を実施する場合）</t>
    <phoneticPr fontId="10"/>
  </si>
  <si>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10"/>
  </si>
  <si>
    <t>上記の技師のうち、放射線治療に関する専門資格を有する者の人数</t>
    <rPh sb="0" eb="2">
      <t>ジョウキ</t>
    </rPh>
    <rPh sb="28" eb="30">
      <t>ニンズウ</t>
    </rPh>
    <phoneticPr fontId="10"/>
  </si>
  <si>
    <t>専任の放射線治療に携わる専門的な知識及び技能を有する常勤の看護師を１人以上配置している。（放射線治療を実施する場合）</t>
    <phoneticPr fontId="10"/>
  </si>
  <si>
    <t>専任の放射線治療に携わる専門的な知識及び技能を有する常勤の看護師の人数</t>
    <rPh sb="33" eb="35">
      <t>ニンズウ</t>
    </rPh>
    <phoneticPr fontId="10"/>
  </si>
  <si>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10"/>
  </si>
  <si>
    <t>上記の看護師のうち、放射線治療に関する専門資格を有する者の人数</t>
    <rPh sb="0" eb="2">
      <t>ジョウキ</t>
    </rPh>
    <rPh sb="29" eb="31">
      <t>ニンズウ</t>
    </rPh>
    <phoneticPr fontId="10"/>
  </si>
  <si>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10"/>
  </si>
  <si>
    <t>当該看護師のうち、専従である者の人数</t>
    <rPh sb="14" eb="15">
      <t>モノ</t>
    </rPh>
    <rPh sb="16" eb="18">
      <t>ニンズウ</t>
    </rPh>
    <phoneticPr fontId="10"/>
  </si>
  <si>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10"/>
  </si>
  <si>
    <t>緩和ケアチームに配置されている、専従の緩和ケアに携わるがん看護又は緩和ケアに関する専門的な知識及び技能を有する
常勤の看護師の人数</t>
    <rPh sb="8" eb="10">
      <t>ハイチ</t>
    </rPh>
    <rPh sb="63" eb="65">
      <t>ニンズウ</t>
    </rPh>
    <phoneticPr fontId="10"/>
  </si>
  <si>
    <t>当該看護師のうち、がん看護又は緩和ケアに関する専門資格を有する者の人数</t>
    <rPh sb="33" eb="35">
      <t>ニンズウ</t>
    </rPh>
    <phoneticPr fontId="10"/>
  </si>
  <si>
    <t>緩和ケアチームに協力する薬剤師、社会福祉士等の相談支援に携わる者、公認心理師等の医療心理に携わる者を
それぞれ１人以上配置している。</t>
    <phoneticPr fontId="10"/>
  </si>
  <si>
    <t>緩和ケアチームに協力する薬剤師の人数</t>
    <rPh sb="16" eb="18">
      <t>ニンズウ</t>
    </rPh>
    <phoneticPr fontId="10"/>
  </si>
  <si>
    <t>緩和ケアチームに協力する社会福祉士等の相談支援に携わる者の人数</t>
    <phoneticPr fontId="10"/>
  </si>
  <si>
    <t>緩和ケアチームに協力する公認心理師等の医療心理に携わる者の人数</t>
    <phoneticPr fontId="10"/>
  </si>
  <si>
    <t>細胞診断に係る業務に携わる専門的な知識及び技能を有する者の人数</t>
    <rPh sb="29" eb="31">
      <t>ニンズウ</t>
    </rPh>
    <phoneticPr fontId="10"/>
  </si>
  <si>
    <t>当該診療従事者のうち、細胞診断に関する専門資格を有する者の人数</t>
    <rPh sb="29" eb="31">
      <t>ニンズウ</t>
    </rPh>
    <phoneticPr fontId="10"/>
  </si>
  <si>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</si>
  <si>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</si>
  <si>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10"/>
  </si>
  <si>
    <t>がん治療に伴う外見の変化について、がん患者及びその家族に対する説明やアピアランスケアに関する情報提供・相談に応じられる体制を整備している。</t>
    <phoneticPr fontId="10"/>
  </si>
  <si>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</si>
  <si>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</si>
  <si>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10"/>
  </si>
  <si>
    <t>当該がん医療圏のがん患者の診療割合（％）</t>
    <phoneticPr fontId="10"/>
  </si>
  <si>
    <t>院内がん登録数　（期間：令和５年１月１日～12月31日）</t>
  </si>
  <si>
    <t>悪性腫瘍の手術件数　（期間：令和５年１月１日～12月31日）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</si>
  <si>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10"/>
  </si>
  <si>
    <t>がんに係る薬物療法のべ患者数　（期間：令和５年１月１日～12月31日）</t>
    <phoneticPr fontId="10"/>
  </si>
  <si>
    <r>
      <rPr>
        <sz val="11"/>
        <rFont val="ＭＳ Ｐゴシック"/>
        <family val="3"/>
        <charset val="128"/>
      </rPr>
      <t>計上方法：経口、静注または皮下注射による全身投与を対象とする。ただし内分泌療法単独の場合は含めない。なお、患者数については1レジメンあたりを1人として計上する。</t>
    </r>
    <phoneticPr fontId="10"/>
  </si>
  <si>
    <t>　　うち、外来化学療法のべ患者数　（期間：令和５年１月１日～12月31日）</t>
    <rPh sb="5" eb="7">
      <t>ガイライ</t>
    </rPh>
    <rPh sb="7" eb="9">
      <t>カガク</t>
    </rPh>
    <rPh sb="9" eb="11">
      <t>リョウホウ</t>
    </rPh>
    <rPh sb="13" eb="16">
      <t>カンジャスウ</t>
    </rPh>
    <phoneticPr fontId="10"/>
  </si>
  <si>
    <t>放射線治療のべ患者数　（期間：令和５年１月１日～12月31日）</t>
  </si>
  <si>
    <t>計上方法：医科診療報酬点数表第2章第12部の放射線治療に含まれるものとする。ただし、血液照射は除く。なお、患者数については複数部位照射する場合でも、一連の治療計画であれば1人として計上する。</t>
    <rPh sb="7" eb="9">
      <t>シンリョウ</t>
    </rPh>
    <rPh sb="9" eb="11">
      <t>ホウシュウ</t>
    </rPh>
    <phoneticPr fontId="10"/>
  </si>
  <si>
    <t>緩和ケアチームの新規介入患者数　（期間：令和５年１月１日～12月31日）</t>
  </si>
  <si>
    <t>計上方法：患者数については同一入院期間内であれば複数回介入しても1人として計上する。</t>
    <phoneticPr fontId="10"/>
  </si>
  <si>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</si>
  <si>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</si>
  <si>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</si>
  <si>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10"/>
  </si>
  <si>
    <t>医科歯科連携による口腔健康管理を推進するために、歯科医師等を対象とするがん患者の口腔健康管理等の研修の実施に協力している。</t>
    <phoneticPr fontId="10"/>
  </si>
  <si>
    <t>がん相談支援センターを設置し、①、②の体制を確保した上で、グループ指定のがん診療連携拠点病院との連携と役割分担によりⅡの５の（１）の③から⑧に規定する相談支援業務を行っている。</t>
    <phoneticPr fontId="10"/>
  </si>
  <si>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</si>
  <si>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</si>
  <si>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</si>
  <si>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10"/>
  </si>
  <si>
    <t>別紙12に詳細を記載してください。</t>
    <rPh sb="0" eb="2">
      <t>ベッシ</t>
    </rPh>
    <phoneticPr fontId="10"/>
  </si>
  <si>
    <t>がん相談支援センターを初めて訪れた者の数を把握し、認知度の継続的な改善に努めている。</t>
    <phoneticPr fontId="10"/>
  </si>
  <si>
    <t>令和５年１月１日～12月31日の期間に、がん相談支援センターを初めて利用した者の相談件数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</si>
  <si>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10"/>
  </si>
  <si>
    <t>院内がん登録の実施に係る指針に即して院内がん登録を実施している。</t>
  </si>
  <si>
    <t>別紙16に詳細を記載してください。</t>
    <rPh sb="0" eb="2">
      <t>ベッシ</t>
    </rPh>
    <phoneticPr fontId="10"/>
  </si>
  <si>
    <t>国立がん研究センターが実施する研修で認定を受けている、専従の院内がん登録の実務を担う者を１人以上配置している。</t>
    <phoneticPr fontId="10"/>
  </si>
  <si>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10"/>
  </si>
  <si>
    <t>初級認定者の認定を受けている、専従の院内がん登録の実務を担う者の人数</t>
    <rPh sb="0" eb="2">
      <t>ショキュウ</t>
    </rPh>
    <rPh sb="32" eb="34">
      <t>ニンズウ</t>
    </rPh>
    <phoneticPr fontId="10"/>
  </si>
  <si>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</si>
  <si>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</si>
  <si>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10"/>
  </si>
  <si>
    <t>別紙17に詳細を記載してください。</t>
    <rPh sb="0" eb="2">
      <t>ベッシ</t>
    </rPh>
    <phoneticPr fontId="10"/>
  </si>
  <si>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</si>
  <si>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10"/>
  </si>
  <si>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</si>
  <si>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</si>
  <si>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</si>
  <si>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10"/>
  </si>
  <si>
    <t>医療の質の改善の取組及び安全管理</t>
    <phoneticPr fontId="10"/>
  </si>
  <si>
    <t>自施設の診療機能や診療実績、地域連携に関する実績や活動状況の他、がん患者の療養生活の質について把握・評価し、課題認識を院内の関係者で共有した上で、組織的な改善策を講じている。</t>
    <phoneticPr fontId="10"/>
  </si>
  <si>
    <t>医療法等に基づく医療安全にかかる適切な体制を確保している。</t>
    <phoneticPr fontId="10"/>
  </si>
  <si>
    <t>別紙20に詳細を記載してください。</t>
    <rPh sb="0" eb="2">
      <t>ベッシ</t>
    </rPh>
    <phoneticPr fontId="10"/>
  </si>
  <si>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10"/>
  </si>
  <si>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0"/>
  </si>
  <si>
    <t>１．がん医療圏と二次医療圏が一致している場合</t>
    <rPh sb="4" eb="7">
      <t>イリョウケン</t>
    </rPh>
    <rPh sb="8" eb="10">
      <t>ニジ</t>
    </rPh>
    <rPh sb="10" eb="13">
      <t>イリョウケン</t>
    </rPh>
    <rPh sb="14" eb="16">
      <t>イッチ</t>
    </rPh>
    <rPh sb="20" eb="22">
      <t>バアイ</t>
    </rPh>
    <phoneticPr fontId="10"/>
  </si>
  <si>
    <t>医療機関の年間新入院がん患者数のうち、当該二次医療圏に居住している者　</t>
    <phoneticPr fontId="10"/>
  </si>
  <si>
    <t>患者調査の「病院の推計退院患者数（患者住所地　※１），二次医療圏×傷病分類別」の当該二次医療圏の悪性新生物の数値</t>
    <phoneticPr fontId="10"/>
  </si>
  <si>
    <t>②'</t>
    <phoneticPr fontId="10"/>
  </si>
  <si>
    <t>②の数値に12をかけたもの（年単位への修正）</t>
    <rPh sb="2" eb="4">
      <t>スウチ</t>
    </rPh>
    <rPh sb="14" eb="17">
      <t>ネンタンイ</t>
    </rPh>
    <rPh sb="19" eb="21">
      <t>シュウセイ</t>
    </rPh>
    <phoneticPr fontId="10"/>
  </si>
  <si>
    <t>A.</t>
    <phoneticPr fontId="10"/>
  </si>
  <si>
    <t>①／②'</t>
    <phoneticPr fontId="10"/>
  </si>
  <si>
    <t>２．がん医療圏と二次医療圏が一致していない場合</t>
    <rPh sb="4" eb="7">
      <t>イリョウケン</t>
    </rPh>
    <rPh sb="8" eb="10">
      <t>ニジ</t>
    </rPh>
    <rPh sb="10" eb="13">
      <t>イリョウケン</t>
    </rPh>
    <rPh sb="14" eb="16">
      <t>イッチ</t>
    </rPh>
    <rPh sb="21" eb="23">
      <t>バアイ</t>
    </rPh>
    <phoneticPr fontId="10"/>
  </si>
  <si>
    <r>
      <t>医療機関の年間新入院がん患者数のうち、当該</t>
    </r>
    <r>
      <rPr>
        <sz val="11"/>
        <rFont val="ＭＳ Ｐゴシック"/>
        <family val="3"/>
        <charset val="128"/>
      </rPr>
      <t>がん医療圏に居住している者　</t>
    </r>
    <phoneticPr fontId="10"/>
  </si>
  <si>
    <t>当該二次医療圏の人口</t>
    <rPh sb="0" eb="2">
      <t>トウガイ</t>
    </rPh>
    <rPh sb="2" eb="4">
      <t>ニジ</t>
    </rPh>
    <rPh sb="4" eb="7">
      <t>イリョウケン</t>
    </rPh>
    <rPh sb="8" eb="10">
      <t>ジンコウ</t>
    </rPh>
    <phoneticPr fontId="10"/>
  </si>
  <si>
    <t>当該がん医療圏の人口</t>
    <rPh sb="0" eb="2">
      <t>トウガイ</t>
    </rPh>
    <rPh sb="4" eb="7">
      <t>イリョウケン</t>
    </rPh>
    <rPh sb="8" eb="10">
      <t>ジンコウ</t>
    </rPh>
    <phoneticPr fontId="10"/>
  </si>
  <si>
    <t>④／③　※二次医療圏とがん医療圏の人口比</t>
    <rPh sb="5" eb="7">
      <t>ニジ</t>
    </rPh>
    <rPh sb="7" eb="10">
      <t>イリョウケン</t>
    </rPh>
    <rPh sb="13" eb="16">
      <t>イリョウケン</t>
    </rPh>
    <rPh sb="17" eb="20">
      <t>ジンコウヒ</t>
    </rPh>
    <phoneticPr fontId="10"/>
  </si>
  <si>
    <t>②'×⑤</t>
    <phoneticPr fontId="10"/>
  </si>
  <si>
    <t>①／⑥</t>
    <phoneticPr fontId="10"/>
  </si>
  <si>
    <t>※１.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10"/>
  </si>
  <si>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9"/>
  </si>
  <si>
    <t>記載の有無：入力済／未入力あり／不要</t>
    <rPh sb="0" eb="2">
      <t>キサイ</t>
    </rPh>
    <rPh sb="3" eb="5">
      <t>ウム</t>
    </rPh>
    <rPh sb="6" eb="8">
      <t>ニュウリョク</t>
    </rPh>
    <rPh sb="8" eb="9">
      <t>ス</t>
    </rPh>
    <rPh sb="10" eb="13">
      <t>ミニュウリョク</t>
    </rPh>
    <phoneticPr fontId="10"/>
  </si>
  <si>
    <t>病院名：</t>
    <rPh sb="0" eb="2">
      <t>ビョウイン</t>
    </rPh>
    <rPh sb="2" eb="3">
      <t>メイ</t>
    </rPh>
    <phoneticPr fontId="10"/>
  </si>
  <si>
    <t>時期・期間：</t>
    <rPh sb="0" eb="2">
      <t>ジキ</t>
    </rPh>
    <rPh sb="3" eb="5">
      <t>キカン</t>
    </rPh>
    <phoneticPr fontId="10"/>
  </si>
  <si>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</si>
  <si>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10"/>
  </si>
  <si>
    <t>現状の説明</t>
    <rPh sb="0" eb="2">
      <t>ゲンジョウ</t>
    </rPh>
    <rPh sb="3" eb="5">
      <t>セツメイ</t>
    </rPh>
    <phoneticPr fontId="10"/>
  </si>
  <si>
    <t>充足見込み時期</t>
    <rPh sb="0" eb="2">
      <t>ジュウソク</t>
    </rPh>
    <rPh sb="2" eb="4">
      <t>ミコ</t>
    </rPh>
    <rPh sb="5" eb="7">
      <t>ジキ</t>
    </rPh>
    <phoneticPr fontId="10"/>
  </si>
  <si>
    <t>例</t>
    <rPh sb="0" eb="1">
      <t>レイ</t>
    </rPh>
    <phoneticPr fontId="10"/>
  </si>
  <si>
    <t>令和６年９月１日時点では専任の医師は配置できていない（兼任で配置している）。</t>
  </si>
  <si>
    <t>令和７年３月１日段階での整備を行う予定である。</t>
    <rPh sb="3" eb="4">
      <t>ネン</t>
    </rPh>
    <rPh sb="5" eb="6">
      <t>ガツ</t>
    </rPh>
    <rPh sb="7" eb="8">
      <t>ニチ</t>
    </rPh>
    <rPh sb="8" eb="10">
      <t>ダンカイ</t>
    </rPh>
    <rPh sb="12" eb="14">
      <t>セイビ</t>
    </rPh>
    <rPh sb="15" eb="16">
      <t>オコナ</t>
    </rPh>
    <rPh sb="17" eb="19">
      <t>ヨテイ</t>
    </rPh>
    <phoneticPr fontId="10"/>
  </si>
  <si>
    <t>令和５年○月○日～令和５年○月○日までの期間、放射線治療機器の入れ替えを行ったため同期間の治療ができなかった。令和５年○月○日以降は通常通りの治療を行っている。また、直近1年間の治療実績は○件であった。</t>
  </si>
  <si>
    <t>令和６年は基準の治療数を達成できる見込み。</t>
  </si>
  <si>
    <t>日本医療機能評価機構の審査等の第三者による評価を受けていない。</t>
    <phoneticPr fontId="10"/>
  </si>
  <si>
    <t>令和７年１月に日本医療機能評価機構の第三者評価を受審予定である。</t>
    <rPh sb="0" eb="2">
      <t>レイワ</t>
    </rPh>
    <rPh sb="3" eb="4">
      <t>ネン</t>
    </rPh>
    <rPh sb="5" eb="6">
      <t>ガツ</t>
    </rPh>
    <rPh sb="18" eb="21">
      <t>ダイサンシャ</t>
    </rPh>
    <rPh sb="21" eb="23">
      <t>ヒョウカ</t>
    </rPh>
    <rPh sb="24" eb="26">
      <t>ジュシン</t>
    </rPh>
    <rPh sb="26" eb="28">
      <t>ヨテイ</t>
    </rPh>
    <phoneticPr fontId="10"/>
  </si>
  <si>
    <t>記載の有無：入力済／未入力あり</t>
    <rPh sb="0" eb="2">
      <t>キサイ</t>
    </rPh>
    <rPh sb="3" eb="5">
      <t>ウム</t>
    </rPh>
    <rPh sb="6" eb="8">
      <t>ニュウリョク</t>
    </rPh>
    <rPh sb="8" eb="9">
      <t>ス</t>
    </rPh>
    <rPh sb="10" eb="11">
      <t>ミ</t>
    </rPh>
    <rPh sb="11" eb="13">
      <t>ニュウリョク</t>
    </rPh>
    <phoneticPr fontId="10"/>
  </si>
  <si>
    <t>病院名：</t>
    <rPh sb="0" eb="2">
      <t>ビョウイン</t>
    </rPh>
    <rPh sb="2" eb="3">
      <t>メイ</t>
    </rPh>
    <phoneticPr fontId="9"/>
  </si>
  <si>
    <t>時期・期間：</t>
    <rPh sb="0" eb="2">
      <t>ジキ</t>
    </rPh>
    <rPh sb="3" eb="5">
      <t>キカン</t>
    </rPh>
    <phoneticPr fontId="9"/>
  </si>
  <si>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■診断あるいはいずれかの治療について、「専門◎」あるいは「対応可〇」と記載した場合は、2022年、2023年の治療開始数（院内がん登録の、症例区分20,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75"/>
  </si>
  <si>
    <t>注１</t>
    <rPh sb="0" eb="1">
      <t>チュウ</t>
    </rPh>
    <phoneticPr fontId="75"/>
  </si>
  <si>
    <t>専門（◎）：当該がんを特に専門とする医師がおり、周囲の施設から患者を積極的に集めている</t>
    <phoneticPr fontId="75"/>
  </si>
  <si>
    <t>対応可（〇）：（積極的に患者を集めるわけではないが）受診された患者は自施設で標準的な対応（診断・治療）が可能である</t>
    <phoneticPr fontId="75"/>
  </si>
  <si>
    <t>他施設へ紹介（△）：他の施設に紹介することで対応している</t>
    <phoneticPr fontId="75"/>
  </si>
  <si>
    <t>注２</t>
    <rPh sb="0" eb="1">
      <t>チュウ</t>
    </rPh>
    <phoneticPr fontId="75"/>
  </si>
  <si>
    <t>臨床試験＝治験であればⅠ～Ⅲ相いずれでもよい。</t>
    <rPh sb="5" eb="7">
      <t>チケン</t>
    </rPh>
    <phoneticPr fontId="75"/>
  </si>
  <si>
    <t>↓記載必須</t>
    <rPh sb="1" eb="3">
      <t>キサイ</t>
    </rPh>
    <rPh sb="3" eb="5">
      <t>ヒッス</t>
    </rPh>
    <phoneticPr fontId="75"/>
  </si>
  <si>
    <t>↓どれかに専門／対応可としたときは公開</t>
    <rPh sb="7" eb="9">
      <t>タイオウ</t>
    </rPh>
    <rPh sb="16" eb="18">
      <t>コウカイ</t>
    </rPh>
    <phoneticPr fontId="75"/>
  </si>
  <si>
    <t>専門◎／対応可〇／他施設へ紹介△（注１）</t>
    <rPh sb="0" eb="2">
      <t>センモン</t>
    </rPh>
    <rPh sb="4" eb="6">
      <t>タイオウ</t>
    </rPh>
    <rPh sb="6" eb="7">
      <t>カ</t>
    </rPh>
    <rPh sb="9" eb="10">
      <t>タ</t>
    </rPh>
    <rPh sb="10" eb="12">
      <t>シセツ</t>
    </rPh>
    <rPh sb="13" eb="15">
      <t>ショウカイ</t>
    </rPh>
    <rPh sb="17" eb="18">
      <t>チュウ</t>
    </rPh>
    <phoneticPr fontId="75"/>
  </si>
  <si>
    <t>臨床試験（注２）の実績の有無</t>
    <rPh sb="0" eb="2">
      <t>リンショウ</t>
    </rPh>
    <rPh sb="2" eb="4">
      <t>シケン</t>
    </rPh>
    <rPh sb="5" eb="6">
      <t>チュウ</t>
    </rPh>
    <rPh sb="9" eb="11">
      <t>ジッセキ</t>
    </rPh>
    <rPh sb="12" eb="14">
      <t>ウム</t>
    </rPh>
    <phoneticPr fontId="75"/>
  </si>
  <si>
    <t>治療開始数</t>
    <rPh sb="0" eb="2">
      <t>チリョウ</t>
    </rPh>
    <rPh sb="2" eb="4">
      <t>カイシ</t>
    </rPh>
    <rPh sb="4" eb="5">
      <t>スウ</t>
    </rPh>
    <phoneticPr fontId="75"/>
  </si>
  <si>
    <t>担当診療科
（複数記載可）</t>
    <rPh sb="0" eb="2">
      <t>タントウ</t>
    </rPh>
    <rPh sb="9" eb="11">
      <t>キサイ</t>
    </rPh>
    <phoneticPr fontId="75"/>
  </si>
  <si>
    <t>備考</t>
    <rPh sb="0" eb="2">
      <t>ビコウ</t>
    </rPh>
    <phoneticPr fontId="75"/>
  </si>
  <si>
    <t>成人（15歳以上）</t>
    <rPh sb="0" eb="2">
      <t>セイジン</t>
    </rPh>
    <rPh sb="5" eb="6">
      <t>サイ</t>
    </rPh>
    <rPh sb="6" eb="8">
      <t>イジョウ</t>
    </rPh>
    <phoneticPr fontId="75"/>
  </si>
  <si>
    <t>診断
(生検等)</t>
    <rPh sb="0" eb="1">
      <t>コトワ</t>
    </rPh>
    <rPh sb="4" eb="6">
      <t>セイケン</t>
    </rPh>
    <rPh sb="6" eb="7">
      <t>ナド</t>
    </rPh>
    <phoneticPr fontId="75"/>
  </si>
  <si>
    <t>初発例への治療</t>
    <rPh sb="0" eb="2">
      <t>ショハツ</t>
    </rPh>
    <rPh sb="2" eb="3">
      <t>レイ</t>
    </rPh>
    <rPh sb="5" eb="7">
      <t>チリョウ</t>
    </rPh>
    <phoneticPr fontId="10"/>
  </si>
  <si>
    <t>再発例
への治療</t>
    <phoneticPr fontId="10"/>
  </si>
  <si>
    <t>2022年</t>
    <rPh sb="4" eb="5">
      <t>ネン</t>
    </rPh>
    <phoneticPr fontId="75"/>
  </si>
  <si>
    <t>2023年</t>
    <rPh sb="4" eb="5">
      <t>ネン</t>
    </rPh>
    <phoneticPr fontId="75"/>
  </si>
  <si>
    <t>手術</t>
    <rPh sb="0" eb="2">
      <t>シュジュツ</t>
    </rPh>
    <phoneticPr fontId="75"/>
  </si>
  <si>
    <t>放射線</t>
    <rPh sb="0" eb="3">
      <t>ホウシャセン</t>
    </rPh>
    <phoneticPr fontId="75"/>
  </si>
  <si>
    <t>薬物療法</t>
    <rPh sb="0" eb="2">
      <t>ヤクブツ</t>
    </rPh>
    <rPh sb="2" eb="4">
      <t>リョウホウ</t>
    </rPh>
    <phoneticPr fontId="75"/>
  </si>
  <si>
    <t>公開の窓口・特記事項など</t>
    <rPh sb="0" eb="2">
      <t>コウカイ</t>
    </rPh>
    <rPh sb="3" eb="5">
      <t>マドグチ</t>
    </rPh>
    <phoneticPr fontId="75"/>
  </si>
  <si>
    <t>脳腫瘍（リンパ腫以外）</t>
    <rPh sb="0" eb="3">
      <t>ノウシュヨウ</t>
    </rPh>
    <rPh sb="7" eb="8">
      <t>シュ</t>
    </rPh>
    <rPh sb="8" eb="10">
      <t>イガイ</t>
    </rPh>
    <phoneticPr fontId="75"/>
  </si>
  <si>
    <t>（良悪性を別に集計表示）</t>
    <rPh sb="1" eb="4">
      <t>リョウアクセイ</t>
    </rPh>
    <rPh sb="5" eb="6">
      <t>ベツ</t>
    </rPh>
    <rPh sb="7" eb="9">
      <t>シュウケイ</t>
    </rPh>
    <rPh sb="9" eb="11">
      <t>ヒョウジ</t>
    </rPh>
    <phoneticPr fontId="75"/>
  </si>
  <si>
    <t>脳腫瘍（リンパ腫）</t>
    <rPh sb="0" eb="3">
      <t>ノウシュヨウ</t>
    </rPh>
    <phoneticPr fontId="75"/>
  </si>
  <si>
    <t>脊髄腫瘍</t>
    <rPh sb="0" eb="2">
      <t>セキズイ</t>
    </rPh>
    <rPh sb="2" eb="4">
      <t>シュヨウ</t>
    </rPh>
    <phoneticPr fontId="75"/>
  </si>
  <si>
    <t>眼腫瘍（眼瞼以外）</t>
    <rPh sb="0" eb="1">
      <t>ガン</t>
    </rPh>
    <rPh sb="1" eb="3">
      <t>シュヨウ</t>
    </rPh>
    <rPh sb="4" eb="6">
      <t>ガンケン</t>
    </rPh>
    <rPh sb="6" eb="8">
      <t>イガイ</t>
    </rPh>
    <phoneticPr fontId="75"/>
  </si>
  <si>
    <t>鼻腔・副鼻腔がん</t>
    <rPh sb="0" eb="2">
      <t>ビクウ</t>
    </rPh>
    <rPh sb="3" eb="6">
      <t>フクビクウ</t>
    </rPh>
    <phoneticPr fontId="75"/>
  </si>
  <si>
    <t>口腔がん</t>
    <rPh sb="0" eb="2">
      <t>コウクウ</t>
    </rPh>
    <phoneticPr fontId="75"/>
  </si>
  <si>
    <t>咽頭がん（上・中・下）</t>
    <rPh sb="0" eb="2">
      <t>イントウ</t>
    </rPh>
    <phoneticPr fontId="75"/>
  </si>
  <si>
    <t>（上・中・下咽頭を別に集計表示）</t>
    <rPh sb="1" eb="2">
      <t>ジョウ</t>
    </rPh>
    <rPh sb="3" eb="4">
      <t>チュウ</t>
    </rPh>
    <rPh sb="5" eb="6">
      <t>カ</t>
    </rPh>
    <rPh sb="6" eb="8">
      <t>イントウ</t>
    </rPh>
    <rPh sb="9" eb="10">
      <t>ベツ</t>
    </rPh>
    <rPh sb="11" eb="13">
      <t>シュウケイ</t>
    </rPh>
    <rPh sb="13" eb="15">
      <t>ヒョウジ</t>
    </rPh>
    <phoneticPr fontId="75"/>
  </si>
  <si>
    <t>喉頭がん</t>
    <rPh sb="0" eb="2">
      <t>コウトウ</t>
    </rPh>
    <phoneticPr fontId="75"/>
  </si>
  <si>
    <t>唾液腺がん</t>
    <rPh sb="0" eb="3">
      <t>ダエキセン</t>
    </rPh>
    <phoneticPr fontId="75"/>
  </si>
  <si>
    <t>外耳道がん</t>
    <rPh sb="0" eb="3">
      <t>ガイジドウ</t>
    </rPh>
    <phoneticPr fontId="75"/>
  </si>
  <si>
    <t>頭頚部肉腫</t>
    <rPh sb="0" eb="3">
      <t>トウケイブ</t>
    </rPh>
    <rPh sb="3" eb="5">
      <t>ニクシュ</t>
    </rPh>
    <phoneticPr fontId="75"/>
  </si>
  <si>
    <t>甲状腺がん</t>
    <rPh sb="0" eb="3">
      <t>コウジョウセン</t>
    </rPh>
    <phoneticPr fontId="75"/>
  </si>
  <si>
    <t>乳がん</t>
    <rPh sb="0" eb="1">
      <t>ニュウ</t>
    </rPh>
    <phoneticPr fontId="75"/>
  </si>
  <si>
    <t>気管がん</t>
    <rPh sb="0" eb="1">
      <t>キ</t>
    </rPh>
    <rPh sb="1" eb="2">
      <t>カン</t>
    </rPh>
    <phoneticPr fontId="75"/>
  </si>
  <si>
    <t>非小細胞肺がん</t>
    <rPh sb="0" eb="1">
      <t>ヒ</t>
    </rPh>
    <rPh sb="1" eb="4">
      <t>ショウサイボウ</t>
    </rPh>
    <rPh sb="4" eb="5">
      <t>ハイ</t>
    </rPh>
    <phoneticPr fontId="75"/>
  </si>
  <si>
    <t>小細胞肺がん</t>
    <rPh sb="0" eb="3">
      <t>ショウサイボウ</t>
    </rPh>
    <rPh sb="3" eb="4">
      <t>ハイ</t>
    </rPh>
    <phoneticPr fontId="75"/>
  </si>
  <si>
    <t>胸腺がん</t>
    <rPh sb="0" eb="2">
      <t>キョウセン</t>
    </rPh>
    <phoneticPr fontId="75"/>
  </si>
  <si>
    <t>胸腺腫</t>
    <rPh sb="0" eb="3">
      <t>キョウセンシュ</t>
    </rPh>
    <phoneticPr fontId="75"/>
  </si>
  <si>
    <t>縦隔胚細胞腫瘍</t>
    <rPh sb="0" eb="2">
      <t>ジュウカク</t>
    </rPh>
    <rPh sb="2" eb="7">
      <t>ハイサイボウシュヨウ</t>
    </rPh>
    <phoneticPr fontId="75"/>
  </si>
  <si>
    <t>縦隔腫瘍（上記以外の腫瘍）</t>
    <rPh sb="0" eb="2">
      <t>ジュウカク</t>
    </rPh>
    <rPh sb="2" eb="4">
      <t>シュヨウ</t>
    </rPh>
    <rPh sb="5" eb="7">
      <t>ジョウキ</t>
    </rPh>
    <rPh sb="7" eb="9">
      <t>イガイ</t>
    </rPh>
    <rPh sb="10" eb="12">
      <t>シュヨウ</t>
    </rPh>
    <phoneticPr fontId="75"/>
  </si>
  <si>
    <t>中皮腫（胸膜）</t>
    <rPh sb="0" eb="2">
      <t>チュウヒ</t>
    </rPh>
    <rPh sb="2" eb="3">
      <t>シュ</t>
    </rPh>
    <rPh sb="4" eb="6">
      <t>キョウマク</t>
    </rPh>
    <phoneticPr fontId="75"/>
  </si>
  <si>
    <t>中皮腫（腹膜）</t>
    <rPh sb="0" eb="2">
      <t>チュウヒ</t>
    </rPh>
    <rPh sb="4" eb="6">
      <t>フクマク</t>
    </rPh>
    <phoneticPr fontId="75"/>
  </si>
  <si>
    <t>食道がん</t>
  </si>
  <si>
    <t>胃がん</t>
    <rPh sb="0" eb="1">
      <t>イ</t>
    </rPh>
    <phoneticPr fontId="75"/>
  </si>
  <si>
    <t>小腸がん</t>
    <rPh sb="0" eb="2">
      <t>ショウチョウ</t>
    </rPh>
    <phoneticPr fontId="75"/>
  </si>
  <si>
    <t>大腸がん(結腸・直腸）</t>
    <rPh sb="0" eb="2">
      <t>ダイチョウ</t>
    </rPh>
    <rPh sb="5" eb="7">
      <t>ケッチョウ</t>
    </rPh>
    <rPh sb="8" eb="10">
      <t>チョクチョウ</t>
    </rPh>
    <phoneticPr fontId="75"/>
  </si>
  <si>
    <t>肛門・肛門管がん</t>
    <rPh sb="0" eb="2">
      <t>コウモン</t>
    </rPh>
    <rPh sb="3" eb="5">
      <t>コウモン</t>
    </rPh>
    <rPh sb="5" eb="6">
      <t>カン</t>
    </rPh>
    <phoneticPr fontId="75"/>
  </si>
  <si>
    <t>消化管間質性腫瘍（GIST）</t>
    <rPh sb="0" eb="3">
      <t>ショウカカン</t>
    </rPh>
    <rPh sb="3" eb="5">
      <t>カンシツ</t>
    </rPh>
    <rPh sb="5" eb="6">
      <t>セイ</t>
    </rPh>
    <rPh sb="6" eb="8">
      <t>シュヨウ</t>
    </rPh>
    <phoneticPr fontId="75"/>
  </si>
  <si>
    <t>消化管の神経内分泌腫瘍（NET／NEC)</t>
    <rPh sb="0" eb="3">
      <t>ショウカカン</t>
    </rPh>
    <rPh sb="4" eb="6">
      <t>シンケイ</t>
    </rPh>
    <rPh sb="6" eb="9">
      <t>ナイブンピツ</t>
    </rPh>
    <rPh sb="9" eb="11">
      <t>シュヨウ</t>
    </rPh>
    <phoneticPr fontId="75"/>
  </si>
  <si>
    <t>（NET,NECは別に集計表示）</t>
    <rPh sb="9" eb="10">
      <t>ベツ</t>
    </rPh>
    <rPh sb="11" eb="13">
      <t>シュウケイ</t>
    </rPh>
    <rPh sb="13" eb="15">
      <t>ヒョウジ</t>
    </rPh>
    <phoneticPr fontId="75"/>
  </si>
  <si>
    <t>肝臓がん</t>
    <rPh sb="0" eb="2">
      <t>カンゾウ</t>
    </rPh>
    <phoneticPr fontId="75"/>
  </si>
  <si>
    <t>胆のう・胆管がん</t>
    <rPh sb="0" eb="1">
      <t>タン</t>
    </rPh>
    <rPh sb="4" eb="6">
      <t>タンカン</t>
    </rPh>
    <phoneticPr fontId="75"/>
  </si>
  <si>
    <t>（肝内、肝外を別に集計表示）</t>
    <rPh sb="1" eb="3">
      <t>カンナイ</t>
    </rPh>
    <rPh sb="4" eb="6">
      <t>カンガイ</t>
    </rPh>
    <rPh sb="7" eb="8">
      <t>ベツ</t>
    </rPh>
    <rPh sb="9" eb="11">
      <t>シュウケイ</t>
    </rPh>
    <rPh sb="11" eb="13">
      <t>ヒョウジ</t>
    </rPh>
    <phoneticPr fontId="75"/>
  </si>
  <si>
    <t>膵臓がん（NET/NEC以外）</t>
    <rPh sb="0" eb="1">
      <t>スイ</t>
    </rPh>
    <rPh sb="1" eb="2">
      <t>ゾウ</t>
    </rPh>
    <rPh sb="2" eb="3">
      <t>スイゾウ</t>
    </rPh>
    <rPh sb="12" eb="14">
      <t>イガイ</t>
    </rPh>
    <phoneticPr fontId="75"/>
  </si>
  <si>
    <t>膵臓の神経内分泌腫瘍（NET／NEC)</t>
    <rPh sb="0" eb="1">
      <t>スイ</t>
    </rPh>
    <rPh sb="1" eb="2">
      <t>ゾウ</t>
    </rPh>
    <rPh sb="3" eb="5">
      <t>シンケイ</t>
    </rPh>
    <rPh sb="5" eb="8">
      <t>ナイブンピツ</t>
    </rPh>
    <rPh sb="8" eb="10">
      <t>シュヨウ</t>
    </rPh>
    <phoneticPr fontId="75"/>
  </si>
  <si>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5"/>
  </si>
  <si>
    <t>デスモイド腫瘍</t>
    <rPh sb="5" eb="7">
      <t>シュヨウ</t>
    </rPh>
    <phoneticPr fontId="75"/>
  </si>
  <si>
    <t>後腹膜肉腫</t>
    <rPh sb="0" eb="3">
      <t>コウフクマク</t>
    </rPh>
    <rPh sb="3" eb="5">
      <t>ニクシュ</t>
    </rPh>
    <phoneticPr fontId="75"/>
  </si>
  <si>
    <t>腎がん</t>
    <rPh sb="0" eb="1">
      <t>ジン</t>
    </rPh>
    <phoneticPr fontId="75"/>
  </si>
  <si>
    <t>褐色細胞腫・傍神経節腫瘍（頭頸部以外）</t>
    <rPh sb="6" eb="7">
      <t>ボウ</t>
    </rPh>
    <rPh sb="7" eb="9">
      <t>シンケイ</t>
    </rPh>
    <rPh sb="9" eb="10">
      <t>セツ</t>
    </rPh>
    <rPh sb="10" eb="12">
      <t>シュヨウ</t>
    </rPh>
    <rPh sb="13" eb="16">
      <t>トウケイブ</t>
    </rPh>
    <rPh sb="16" eb="18">
      <t>イガイ</t>
    </rPh>
    <phoneticPr fontId="75"/>
  </si>
  <si>
    <t>副腎皮質がん</t>
    <rPh sb="0" eb="1">
      <t>フク</t>
    </rPh>
    <rPh sb="1" eb="2">
      <t>ジン</t>
    </rPh>
    <rPh sb="2" eb="4">
      <t>ヒシツ</t>
    </rPh>
    <phoneticPr fontId="75"/>
  </si>
  <si>
    <t>腎盂尿管がん・膀胱がん</t>
    <rPh sb="0" eb="2">
      <t>ジンウ</t>
    </rPh>
    <rPh sb="2" eb="4">
      <t>ニョウカン</t>
    </rPh>
    <phoneticPr fontId="75"/>
  </si>
  <si>
    <t>（腎盂・尿管・膀胱は別に集計表示）</t>
    <rPh sb="1" eb="3">
      <t>ジンウ</t>
    </rPh>
    <rPh sb="4" eb="6">
      <t>ニョウカン</t>
    </rPh>
    <rPh sb="7" eb="9">
      <t>ボウコウ</t>
    </rPh>
    <rPh sb="10" eb="11">
      <t>ベツ</t>
    </rPh>
    <rPh sb="12" eb="14">
      <t>シュウケイ</t>
    </rPh>
    <rPh sb="14" eb="16">
      <t>ヒョウジ</t>
    </rPh>
    <phoneticPr fontId="75"/>
  </si>
  <si>
    <t>精巣腫瘍</t>
    <rPh sb="0" eb="2">
      <t>セイソウ</t>
    </rPh>
    <rPh sb="2" eb="4">
      <t>シュヨウ</t>
    </rPh>
    <phoneticPr fontId="75"/>
  </si>
  <si>
    <t>前立腺がん</t>
    <rPh sb="0" eb="3">
      <t>ゼンリツセン</t>
    </rPh>
    <phoneticPr fontId="75"/>
  </si>
  <si>
    <t>子宮頸がん（上皮性）</t>
    <rPh sb="0" eb="2">
      <t>シキュウ</t>
    </rPh>
    <rPh sb="2" eb="3">
      <t>ケイ</t>
    </rPh>
    <rPh sb="6" eb="9">
      <t>ジョウヒセイ</t>
    </rPh>
    <phoneticPr fontId="75"/>
  </si>
  <si>
    <t>子宮体がん（上皮性）（子宮がん肉腫を含む）</t>
    <phoneticPr fontId="10"/>
  </si>
  <si>
    <t>子宮肉腫</t>
    <rPh sb="0" eb="2">
      <t>シキュウ</t>
    </rPh>
    <rPh sb="2" eb="4">
      <t>ニクシュ</t>
    </rPh>
    <phoneticPr fontId="75"/>
  </si>
  <si>
    <t>卵巣がん、卵管がん、腹膜がん（上皮性）</t>
    <rPh sb="0" eb="2">
      <t>ランソウ</t>
    </rPh>
    <rPh sb="5" eb="7">
      <t>ランカン</t>
    </rPh>
    <rPh sb="10" eb="12">
      <t>フクマク</t>
    </rPh>
    <rPh sb="15" eb="17">
      <t>ジョウヒ</t>
    </rPh>
    <rPh sb="17" eb="18">
      <t>セイ</t>
    </rPh>
    <phoneticPr fontId="75"/>
  </si>
  <si>
    <t>卵巣悪性胚細胞腫瘍</t>
    <rPh sb="2" eb="4">
      <t>アクセイ</t>
    </rPh>
    <phoneticPr fontId="10"/>
  </si>
  <si>
    <t>外陰がん</t>
    <rPh sb="0" eb="2">
      <t>ガイイン</t>
    </rPh>
    <phoneticPr fontId="75"/>
  </si>
  <si>
    <t>四肢・表在体幹の悪性軟部腫瘍</t>
    <rPh sb="0" eb="2">
      <t>シシ</t>
    </rPh>
    <rPh sb="5" eb="7">
      <t>タイカン</t>
    </rPh>
    <rPh sb="8" eb="10">
      <t>アクセイ</t>
    </rPh>
    <rPh sb="10" eb="12">
      <t>ナンブ</t>
    </rPh>
    <rPh sb="12" eb="14">
      <t>シュヨウ</t>
    </rPh>
    <phoneticPr fontId="75"/>
  </si>
  <si>
    <t>四肢の悪性骨腫瘍</t>
    <rPh sb="3" eb="5">
      <t>アクセイ</t>
    </rPh>
    <rPh sb="5" eb="6">
      <t>コツ</t>
    </rPh>
    <rPh sb="6" eb="8">
      <t>シュヨウ</t>
    </rPh>
    <phoneticPr fontId="75"/>
  </si>
  <si>
    <t>脊椎・骨盤の悪性骨腫瘍</t>
    <rPh sb="0" eb="2">
      <t>セキツイ</t>
    </rPh>
    <rPh sb="3" eb="5">
      <t>コツバン</t>
    </rPh>
    <rPh sb="6" eb="8">
      <t>アクセイ</t>
    </rPh>
    <rPh sb="8" eb="9">
      <t>コツ</t>
    </rPh>
    <rPh sb="9" eb="11">
      <t>シュヨウ</t>
    </rPh>
    <phoneticPr fontId="75"/>
  </si>
  <si>
    <t>皮膚の悪性黒色腫</t>
    <rPh sb="0" eb="2">
      <t>ヒフ</t>
    </rPh>
    <rPh sb="3" eb="5">
      <t>アクセイ</t>
    </rPh>
    <rPh sb="5" eb="8">
      <t>コクショクシュ</t>
    </rPh>
    <phoneticPr fontId="75"/>
  </si>
  <si>
    <t>皮膚がん（悪性黒色腫以外）</t>
    <rPh sb="0" eb="2">
      <t>ヒフ</t>
    </rPh>
    <rPh sb="5" eb="7">
      <t>アクセイ</t>
    </rPh>
    <rPh sb="7" eb="10">
      <t>コクショクシュ</t>
    </rPh>
    <rPh sb="10" eb="12">
      <t>イガイ</t>
    </rPh>
    <phoneticPr fontId="75"/>
  </si>
  <si>
    <t>悪性リンパ腫</t>
    <rPh sb="0" eb="2">
      <t>アクセイ</t>
    </rPh>
    <rPh sb="5" eb="6">
      <t>シュ</t>
    </rPh>
    <phoneticPr fontId="75"/>
  </si>
  <si>
    <t>急性白血病（骨髄性、リンパ性）</t>
    <rPh sb="0" eb="2">
      <t>キュウセイ</t>
    </rPh>
    <rPh sb="2" eb="5">
      <t>ハッケツビョウ</t>
    </rPh>
    <rPh sb="6" eb="9">
      <t>コツズイセイ</t>
    </rPh>
    <rPh sb="13" eb="14">
      <t>セイ</t>
    </rPh>
    <phoneticPr fontId="75"/>
  </si>
  <si>
    <t>慢性白血病（骨髄性、リンパ性）</t>
    <rPh sb="0" eb="2">
      <t>マンセイ</t>
    </rPh>
    <rPh sb="2" eb="5">
      <t>ハッケツビョウ</t>
    </rPh>
    <phoneticPr fontId="75"/>
  </si>
  <si>
    <t>多発性骨髄腫</t>
    <rPh sb="0" eb="3">
      <t>タハツセイ</t>
    </rPh>
    <rPh sb="3" eb="6">
      <t>コツズイシュ</t>
    </rPh>
    <phoneticPr fontId="75"/>
  </si>
  <si>
    <t>原発不明がん</t>
    <rPh sb="0" eb="2">
      <t>ゲンパツ</t>
    </rPh>
    <rPh sb="2" eb="4">
      <t>フメイ</t>
    </rPh>
    <phoneticPr fontId="75"/>
  </si>
  <si>
    <t>専門◎／対応可〇／他施設へ紹介△</t>
    <rPh sb="0" eb="2">
      <t>センモン</t>
    </rPh>
    <rPh sb="4" eb="6">
      <t>タイオウ</t>
    </rPh>
    <rPh sb="6" eb="7">
      <t>カ</t>
    </rPh>
    <rPh sb="9" eb="10">
      <t>タ</t>
    </rPh>
    <rPh sb="10" eb="12">
      <t>シセツ</t>
    </rPh>
    <rPh sb="13" eb="15">
      <t>ショウカイ</t>
    </rPh>
    <phoneticPr fontId="75"/>
  </si>
  <si>
    <t>臨床試験の
実績の有無</t>
    <rPh sb="0" eb="2">
      <t>リンショウ</t>
    </rPh>
    <rPh sb="2" eb="4">
      <t>シケン</t>
    </rPh>
    <rPh sb="6" eb="8">
      <t>ジッセキ</t>
    </rPh>
    <rPh sb="9" eb="11">
      <t>ウム</t>
    </rPh>
    <phoneticPr fontId="75"/>
  </si>
  <si>
    <t>小児（15歳未満）</t>
    <rPh sb="0" eb="2">
      <t>ショウニ</t>
    </rPh>
    <rPh sb="5" eb="8">
      <t>サイミマン</t>
    </rPh>
    <phoneticPr fontId="75"/>
  </si>
  <si>
    <t>小児脳腫瘍</t>
    <rPh sb="0" eb="2">
      <t>ショウニ</t>
    </rPh>
    <rPh sb="2" eb="5">
      <t>ノウシュヨウ</t>
    </rPh>
    <phoneticPr fontId="75"/>
  </si>
  <si>
    <t>小児眼腫瘍</t>
    <rPh sb="0" eb="1">
      <t>ガン</t>
    </rPh>
    <rPh sb="2" eb="3">
      <t>ガン</t>
    </rPh>
    <phoneticPr fontId="75"/>
  </si>
  <si>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</si>
  <si>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</si>
  <si>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</si>
  <si>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</si>
  <si>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10"/>
  </si>
  <si>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</si>
  <si>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0"/>
  </si>
  <si>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10"/>
  </si>
  <si>
    <t>手術療法</t>
    <rPh sb="0" eb="2">
      <t>シュジュツ</t>
    </rPh>
    <rPh sb="2" eb="4">
      <t>リョウホウ</t>
    </rPh>
    <phoneticPr fontId="10"/>
  </si>
  <si>
    <t>薬物療法</t>
    <rPh sb="0" eb="2">
      <t>ヤクブツ</t>
    </rPh>
    <rPh sb="2" eb="4">
      <t>リョウホウ</t>
    </rPh>
    <phoneticPr fontId="10"/>
  </si>
  <si>
    <t>放射線療法</t>
    <rPh sb="0" eb="3">
      <t>ホウシャセン</t>
    </rPh>
    <rPh sb="3" eb="5">
      <t>リョウホウ</t>
    </rPh>
    <phoneticPr fontId="10"/>
  </si>
  <si>
    <t>（例）膵臓がん</t>
    <rPh sb="1" eb="2">
      <t>レイ</t>
    </rPh>
    <rPh sb="3" eb="5">
      <t>スイゾウ</t>
    </rPh>
    <phoneticPr fontId="10"/>
  </si>
  <si>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</si>
  <si>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</si>
  <si>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10"/>
  </si>
  <si>
    <t>　肺がん</t>
    <phoneticPr fontId="10"/>
  </si>
  <si>
    <t>胆のう・胆管がん</t>
    <phoneticPr fontId="10"/>
  </si>
  <si>
    <t>カンファレンスについて</t>
    <phoneticPr fontId="9"/>
  </si>
  <si>
    <t>記載の有無：入力済／未入力あり</t>
    <phoneticPr fontId="10"/>
  </si>
  <si>
    <r>
      <t xml:space="preserve">※この別紙は任意記載です。整備指針Ⅱの２の（１）の①のウ及びⅥの２の（１）の①のオに定めるカンファレンスのうち、ⅳについて記載してください。
　 </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61" eb="63">
      <t>キサイ</t>
    </rPh>
    <rPh sb="76" eb="78">
      <t>キサイ</t>
    </rPh>
    <rPh sb="81" eb="83">
      <t>バアイ</t>
    </rPh>
    <rPh sb="86" eb="88">
      <t>キサイ</t>
    </rPh>
    <rPh sb="92" eb="94">
      <t>キニュウ</t>
    </rPh>
    <phoneticPr fontId="10"/>
  </si>
  <si>
    <t>ⅳのカンファレンスについて、検討している症例・テーマ・参加する職種等について自由記載してください。</t>
    <phoneticPr fontId="10"/>
  </si>
  <si>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0"/>
  </si>
  <si>
    <t>緩和ケア外来の状況</t>
    <rPh sb="0" eb="2">
      <t>カンワ</t>
    </rPh>
    <rPh sb="4" eb="6">
      <t>ガイライ</t>
    </rPh>
    <rPh sb="7" eb="9">
      <t>ジョウキョウ</t>
    </rPh>
    <phoneticPr fontId="9"/>
  </si>
  <si>
    <t>緩和ケア外来が設定されている （はい／いいえ）</t>
    <rPh sb="0" eb="2">
      <t>カンワ</t>
    </rPh>
    <rPh sb="7" eb="9">
      <t>セッテイ</t>
    </rPh>
    <phoneticPr fontId="10"/>
  </si>
  <si>
    <t>緩和ケア外来の名称</t>
  </si>
  <si>
    <t>担当診療科名</t>
    <rPh sb="0" eb="2">
      <t>タントウ</t>
    </rPh>
    <rPh sb="2" eb="4">
      <t>シンリョウ</t>
    </rPh>
    <rPh sb="4" eb="5">
      <t>カ</t>
    </rPh>
    <rPh sb="5" eb="6">
      <t>ナ</t>
    </rPh>
    <phoneticPr fontId="10"/>
  </si>
  <si>
    <t>緩和ケア外来の頻度(〇回/週)</t>
    <rPh sb="0" eb="2">
      <t>カンワ</t>
    </rPh>
    <rPh sb="4" eb="6">
      <t>ガイライ</t>
    </rPh>
    <rPh sb="7" eb="9">
      <t>ヒンド</t>
    </rPh>
    <rPh sb="11" eb="12">
      <t>カイ</t>
    </rPh>
    <rPh sb="13" eb="14">
      <t>シュウ</t>
    </rPh>
    <phoneticPr fontId="10"/>
  </si>
  <si>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0"/>
  </si>
  <si>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0"/>
  </si>
  <si>
    <t>見出し</t>
    <rPh sb="0" eb="2">
      <t>ミダ</t>
    </rPh>
    <phoneticPr fontId="10"/>
  </si>
  <si>
    <t>アド
レス</t>
    <phoneticPr fontId="10"/>
  </si>
  <si>
    <t>他施設でがんの診療を受けている、または、診療を受けていた患者さんを受け入れている （はい／いいえ）</t>
    <rPh sb="0" eb="1">
      <t>タ</t>
    </rPh>
    <rPh sb="1" eb="3">
      <t>シセツ</t>
    </rPh>
    <phoneticPr fontId="10"/>
  </si>
  <si>
    <t>■地域の患者さんやご家族向けの問い合わせ窓口が設定されている （はい／いいえ）</t>
    <rPh sb="23" eb="25">
      <t>セッテイ</t>
    </rPh>
    <phoneticPr fontId="10"/>
  </si>
  <si>
    <t>窓口の名称</t>
    <rPh sb="3" eb="5">
      <t>メイショウ</t>
    </rPh>
    <phoneticPr fontId="10"/>
  </si>
  <si>
    <t>電話番号</t>
    <rPh sb="2" eb="4">
      <t>バンゴウ</t>
    </rPh>
    <phoneticPr fontId="10"/>
  </si>
  <si>
    <t>（内線）</t>
    <rPh sb="1" eb="3">
      <t>ナイセン</t>
    </rPh>
    <phoneticPr fontId="10"/>
  </si>
  <si>
    <t>■地域の医療機関向けの問い合わせ窓口が設定されている （はい／いいえ）</t>
    <rPh sb="1" eb="3">
      <t>チイキ</t>
    </rPh>
    <rPh sb="4" eb="6">
      <t>イリョウ</t>
    </rPh>
    <rPh sb="6" eb="8">
      <t>キカン</t>
    </rPh>
    <rPh sb="19" eb="21">
      <t>セッテイ</t>
    </rPh>
    <phoneticPr fontId="10"/>
  </si>
  <si>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0"/>
  </si>
  <si>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0"/>
  </si>
  <si>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0"/>
  </si>
  <si>
    <t>緩和ケア外来患者の年間受診患者のべ数</t>
    <rPh sb="0" eb="2">
      <t>カンワ</t>
    </rPh>
    <rPh sb="4" eb="6">
      <t>ガイライ</t>
    </rPh>
    <phoneticPr fontId="10"/>
  </si>
  <si>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0"/>
  </si>
  <si>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0"/>
  </si>
  <si>
    <t>地域の医療機関からの年間受診患者のべ数</t>
    <rPh sb="12" eb="14">
      <t>ジュシン</t>
    </rPh>
    <rPh sb="14" eb="16">
      <t>カンジャ</t>
    </rPh>
    <rPh sb="18" eb="19">
      <t>スウ</t>
    </rPh>
    <phoneticPr fontId="10"/>
  </si>
  <si>
    <t>緩和ケア病棟の状況</t>
    <rPh sb="0" eb="2">
      <t>カンワ</t>
    </rPh>
    <rPh sb="7" eb="9">
      <t>ジョウキョウ</t>
    </rPh>
    <phoneticPr fontId="9"/>
  </si>
  <si>
    <t>※緩和ケア病棟が設定されている場合に限り、「2」以降を記載してください。</t>
    <rPh sb="5" eb="7">
      <t>ビョウトウ</t>
    </rPh>
    <phoneticPr fontId="10"/>
  </si>
  <si>
    <t>緩和ケア病棟を有している</t>
    <rPh sb="0" eb="2">
      <t>カンワ</t>
    </rPh>
    <rPh sb="4" eb="6">
      <t>ビョウトウ</t>
    </rPh>
    <rPh sb="7" eb="8">
      <t>ユウ</t>
    </rPh>
    <phoneticPr fontId="10"/>
  </si>
  <si>
    <t>緩和ケア病棟入院料の届出・受理</t>
    <rPh sb="0" eb="2">
      <t>カンワ</t>
    </rPh>
    <rPh sb="4" eb="6">
      <t>ビョウトウ</t>
    </rPh>
    <rPh sb="6" eb="8">
      <t>ニュウイン</t>
    </rPh>
    <rPh sb="8" eb="9">
      <t>リョウ</t>
    </rPh>
    <rPh sb="10" eb="12">
      <t>トドケデ</t>
    </rPh>
    <rPh sb="13" eb="15">
      <t>ジュリ</t>
    </rPh>
    <phoneticPr fontId="10"/>
  </si>
  <si>
    <t>緩和ケア病棟の形式</t>
    <rPh sb="0" eb="2">
      <t>カンワ</t>
    </rPh>
    <phoneticPr fontId="10"/>
  </si>
  <si>
    <t>緩和ケア病棟の病床数</t>
    <rPh sb="0" eb="2">
      <t>カンワ</t>
    </rPh>
    <rPh sb="7" eb="10">
      <t>ビョウショウスウ</t>
    </rPh>
    <phoneticPr fontId="10"/>
  </si>
  <si>
    <t>床</t>
    <rPh sb="0" eb="1">
      <t>トコ</t>
    </rPh>
    <phoneticPr fontId="10"/>
  </si>
  <si>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0"/>
  </si>
  <si>
    <t>日</t>
    <rPh sb="0" eb="1">
      <t>ヒ</t>
    </rPh>
    <phoneticPr fontId="10"/>
  </si>
  <si>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0"/>
  </si>
  <si>
    <t>アドレス</t>
    <phoneticPr fontId="10"/>
  </si>
  <si>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</si>
  <si>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0"/>
  </si>
  <si>
    <t>（例）　　精神保健福祉士</t>
    <rPh sb="1" eb="2">
      <t>レイ</t>
    </rPh>
    <rPh sb="5" eb="7">
      <t>セイシン</t>
    </rPh>
    <rPh sb="7" eb="9">
      <t>ホケン</t>
    </rPh>
    <rPh sb="9" eb="12">
      <t>フクシシ</t>
    </rPh>
    <phoneticPr fontId="10"/>
  </si>
  <si>
    <t>問い合わせ窓口について掲載しているホームページ</t>
    <rPh sb="0" eb="1">
      <t>ト</t>
    </rPh>
    <rPh sb="2" eb="3">
      <t>ア</t>
    </rPh>
    <rPh sb="5" eb="7">
      <t>マドグチ</t>
    </rPh>
    <rPh sb="11" eb="13">
      <t>ケイサイ</t>
    </rPh>
    <phoneticPr fontId="10"/>
  </si>
  <si>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</si>
  <si>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</si>
  <si>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</si>
  <si>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10"/>
  </si>
  <si>
    <t>不要</t>
  </si>
  <si>
    <t>地域緩和ケア連携体制</t>
    <rPh sb="0" eb="2">
      <t>チイキ</t>
    </rPh>
    <rPh sb="2" eb="4">
      <t>カンワ</t>
    </rPh>
    <rPh sb="6" eb="8">
      <t>レンケイ</t>
    </rPh>
    <rPh sb="8" eb="10">
      <t>タイセイ</t>
    </rPh>
    <phoneticPr fontId="9"/>
  </si>
  <si>
    <t>時点：</t>
    <rPh sb="0" eb="2">
      <t>ジテン</t>
    </rPh>
    <phoneticPr fontId="10"/>
  </si>
  <si>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</si>
  <si>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0"/>
  </si>
  <si>
    <t>回</t>
    <rPh sb="0" eb="1">
      <t>カイ</t>
    </rPh>
    <phoneticPr fontId="10"/>
  </si>
  <si>
    <t>地域内の他施設が主催したもの</t>
    <rPh sb="0" eb="2">
      <t>チイキ</t>
    </rPh>
    <rPh sb="2" eb="3">
      <t>ナイ</t>
    </rPh>
    <rPh sb="4" eb="5">
      <t>ホカ</t>
    </rPh>
    <rPh sb="5" eb="7">
      <t>シセツ</t>
    </rPh>
    <rPh sb="8" eb="10">
      <t>シュサイ</t>
    </rPh>
    <phoneticPr fontId="10"/>
  </si>
  <si>
    <t>注１）</t>
    <phoneticPr fontId="10"/>
  </si>
  <si>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</si>
  <si>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10"/>
  </si>
  <si>
    <t>患者の退院支援カンファレンス等、患者個人の情報共有のために開催したカンファレンスは含まない。</t>
    <phoneticPr fontId="10"/>
  </si>
  <si>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10"/>
  </si>
  <si>
    <t>・緊急緩和ケア病床数</t>
    <rPh sb="1" eb="3">
      <t>キンキュウ</t>
    </rPh>
    <rPh sb="3" eb="5">
      <t>カンワ</t>
    </rPh>
    <rPh sb="7" eb="9">
      <t>ビョウショウ</t>
    </rPh>
    <rPh sb="9" eb="10">
      <t>スウ</t>
    </rPh>
    <phoneticPr fontId="10"/>
  </si>
  <si>
    <t>【がんの難治性疼痛に対する神経ブロックについて】</t>
    <rPh sb="10" eb="11">
      <t>タイ</t>
    </rPh>
    <rPh sb="13" eb="15">
      <t>シンケイ</t>
    </rPh>
    <phoneticPr fontId="10"/>
  </si>
  <si>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0"/>
  </si>
  <si>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0"/>
  </si>
  <si>
    <t>緩和ケアチームのメンバーと活動</t>
    <rPh sb="13" eb="15">
      <t>カツドウ</t>
    </rPh>
    <phoneticPr fontId="10"/>
  </si>
  <si>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</si>
  <si>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期間：</t>
    <rPh sb="0" eb="2">
      <t>キカン</t>
    </rPh>
    <phoneticPr fontId="9"/>
  </si>
  <si>
    <t>緩和ケアチームのメンバーについて記載してください。</t>
    <phoneticPr fontId="10"/>
  </si>
  <si>
    <t>注）常勤とは、原則として病院で定めた勤務時間の全てを勤務する者をいう。病院で定めた医師の１週間の勤務時間が、32時間未満の場合は、
　　32時間以上勤務している者を常勤とし、その他は非常勤とする。</t>
    <rPh sb="2" eb="4">
      <t>ジョウキン</t>
    </rPh>
    <phoneticPr fontId="10"/>
  </si>
  <si>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8"/>
  </si>
  <si>
    <t>職種</t>
    <rPh sb="0" eb="2">
      <t>ショクシュ</t>
    </rPh>
    <phoneticPr fontId="9"/>
  </si>
  <si>
    <t>常勤
/非常勤</t>
    <rPh sb="0" eb="2">
      <t>ジョウキン</t>
    </rPh>
    <rPh sb="4" eb="7">
      <t>ヒジョウキン</t>
    </rPh>
    <phoneticPr fontId="9"/>
  </si>
  <si>
    <t>専門資格（取得している場合）</t>
    <rPh sb="0" eb="2">
      <t>センモン</t>
    </rPh>
    <rPh sb="2" eb="4">
      <t>シカク</t>
    </rPh>
    <rPh sb="5" eb="7">
      <t>シュトク</t>
    </rPh>
    <rPh sb="11" eb="13">
      <t>バアイ</t>
    </rPh>
    <phoneticPr fontId="9"/>
  </si>
  <si>
    <t>例</t>
    <rPh sb="0" eb="1">
      <t>レイ</t>
    </rPh>
    <phoneticPr fontId="58"/>
  </si>
  <si>
    <t>管理栄養士</t>
    <rPh sb="0" eb="2">
      <t>カンリ</t>
    </rPh>
    <rPh sb="2" eb="5">
      <t>エイヨウシ</t>
    </rPh>
    <phoneticPr fontId="9"/>
  </si>
  <si>
    <t xml:space="preserve">常勤
</t>
    <rPh sb="0" eb="2">
      <t>ジョウキン</t>
    </rPh>
    <phoneticPr fontId="9"/>
  </si>
  <si>
    <t>がん病態栄養専門管理栄養士</t>
    <rPh sb="2" eb="4">
      <t>ビョウタイ</t>
    </rPh>
    <rPh sb="4" eb="6">
      <t>エイヨウ</t>
    </rPh>
    <rPh sb="6" eb="8">
      <t>センモン</t>
    </rPh>
    <rPh sb="8" eb="10">
      <t>カンリ</t>
    </rPh>
    <rPh sb="10" eb="13">
      <t>エイヨウシ</t>
    </rPh>
    <phoneticPr fontId="58"/>
  </si>
  <si>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</si>
  <si>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0"/>
  </si>
  <si>
    <t>病棟ラウンドの頻度</t>
    <rPh sb="0" eb="2">
      <t>ビョウトウ</t>
    </rPh>
    <rPh sb="7" eb="9">
      <t>ヒンド</t>
    </rPh>
    <phoneticPr fontId="10"/>
  </si>
  <si>
    <t>カンファレンスの頻度</t>
    <rPh sb="8" eb="10">
      <t>ヒンド</t>
    </rPh>
    <phoneticPr fontId="10"/>
  </si>
  <si>
    <t>緩和ケアチームの活動内容について記載してください。</t>
    <rPh sb="0" eb="2">
      <t>カンワ</t>
    </rPh>
    <rPh sb="8" eb="10">
      <t>カツドウ</t>
    </rPh>
    <rPh sb="10" eb="12">
      <t>ナイヨウ</t>
    </rPh>
    <rPh sb="16" eb="18">
      <t>キサイ</t>
    </rPh>
    <phoneticPr fontId="10"/>
  </si>
  <si>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0"/>
  </si>
  <si>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0"/>
  </si>
  <si>
    <t>患者及び家族が利用可能なインターネット環境</t>
    <rPh sb="0" eb="2">
      <t>カンジャ</t>
    </rPh>
    <rPh sb="2" eb="3">
      <t>オヨ</t>
    </rPh>
    <rPh sb="4" eb="6">
      <t>カゾク</t>
    </rPh>
    <rPh sb="7" eb="9">
      <t>リヨウ</t>
    </rPh>
    <rPh sb="9" eb="11">
      <t>カノウ</t>
    </rPh>
    <rPh sb="19" eb="21">
      <t>カンキョウ</t>
    </rPh>
    <phoneticPr fontId="9"/>
  </si>
  <si>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0"/>
  </si>
  <si>
    <t>（上記が”はい”の場合に回答してください）上記は無料で利用できる。</t>
    <rPh sb="1" eb="3">
      <t>ジョウキ</t>
    </rPh>
    <rPh sb="9" eb="11">
      <t>バアイ</t>
    </rPh>
    <rPh sb="12" eb="14">
      <t>カイトウ</t>
    </rPh>
    <rPh sb="21" eb="23">
      <t>ジョウキ</t>
    </rPh>
    <phoneticPr fontId="10"/>
  </si>
  <si>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0"/>
  </si>
  <si>
    <t>2が”はい”の場合に、参考としたガイドライン名を以下の欄に記入してください。</t>
    <rPh sb="7" eb="9">
      <t>バアイ</t>
    </rPh>
    <rPh sb="24" eb="26">
      <t>イカ</t>
    </rPh>
    <rPh sb="27" eb="28">
      <t>ラン</t>
    </rPh>
    <rPh sb="29" eb="31">
      <t>キニュウ</t>
    </rPh>
    <phoneticPr fontId="10"/>
  </si>
  <si>
    <t>がん患者の特性に応じた支援</t>
    <rPh sb="2" eb="4">
      <t>カンジャ</t>
    </rPh>
    <rPh sb="5" eb="7">
      <t>トクセイ</t>
    </rPh>
    <rPh sb="8" eb="9">
      <t>オウ</t>
    </rPh>
    <rPh sb="11" eb="13">
      <t>シエン</t>
    </rPh>
    <phoneticPr fontId="9"/>
  </si>
  <si>
    <t>自施設でAYA世代のがん患者の支援を行っている</t>
    <rPh sb="0" eb="1">
      <t>ジ</t>
    </rPh>
    <rPh sb="1" eb="3">
      <t>シセツ</t>
    </rPh>
    <rPh sb="7" eb="9">
      <t>セダイ</t>
    </rPh>
    <rPh sb="12" eb="14">
      <t>カンジャ</t>
    </rPh>
    <rPh sb="15" eb="17">
      <t>シエン</t>
    </rPh>
    <rPh sb="18" eb="19">
      <t>オコナ</t>
    </rPh>
    <phoneticPr fontId="10"/>
  </si>
  <si>
    <t>（はい／いいえ）</t>
    <phoneticPr fontId="10"/>
  </si>
  <si>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0"/>
  </si>
  <si>
    <t>（例）</t>
    <rPh sb="1" eb="2">
      <t>レイ</t>
    </rPh>
    <phoneticPr fontId="10"/>
  </si>
  <si>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0"/>
  </si>
  <si>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0"/>
  </si>
  <si>
    <t>多職種からなるAYA支援チームを設置している。</t>
    <rPh sb="0" eb="1">
      <t>タ</t>
    </rPh>
    <rPh sb="1" eb="3">
      <t>ショクシュ</t>
    </rPh>
    <rPh sb="10" eb="12">
      <t>シエン</t>
    </rPh>
    <rPh sb="16" eb="18">
      <t>セッチ</t>
    </rPh>
    <phoneticPr fontId="10"/>
  </si>
  <si>
    <t>「はい」の場合は、AYA支援チーム構成員の職種を記載してください。</t>
    <rPh sb="5" eb="7">
      <t>バアイ</t>
    </rPh>
    <rPh sb="12" eb="14">
      <t>シエン</t>
    </rPh>
    <rPh sb="17" eb="20">
      <t>コウセイイン</t>
    </rPh>
    <rPh sb="21" eb="23">
      <t>ショクシュ</t>
    </rPh>
    <rPh sb="24" eb="26">
      <t>キサイ</t>
    </rPh>
    <phoneticPr fontId="10"/>
  </si>
  <si>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0"/>
  </si>
  <si>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0"/>
  </si>
  <si>
    <t>がん患者の妊孕性の温存に関する支援について、自施設もしくは連携施設への紹介で実施している場合に内容を記載してください。</t>
    <rPh sb="5" eb="8">
      <t>ニンヨウセイ</t>
    </rPh>
    <rPh sb="9" eb="11">
      <t>オンゾン</t>
    </rPh>
    <phoneticPr fontId="10"/>
  </si>
  <si>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0"/>
  </si>
  <si>
    <t>がん患者の就業に関する支援について自施設もしくは連携施設への紹介で実施している場合に内容を記載してください。</t>
    <rPh sb="5" eb="7">
      <t>シュウギョウ</t>
    </rPh>
    <phoneticPr fontId="10"/>
  </si>
  <si>
    <t>がん患者のアピアランスケアに関する支援について自施設もしくは連携施設への紹介で実施している場合に内容を記載してください。</t>
    <phoneticPr fontId="10"/>
  </si>
  <si>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10"/>
  </si>
  <si>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0"/>
  </si>
  <si>
    <t>病院名：</t>
    <rPh sb="0" eb="2">
      <t>ビョウイン</t>
    </rPh>
    <rPh sb="2" eb="3">
      <t>ナ</t>
    </rPh>
    <phoneticPr fontId="10"/>
  </si>
  <si>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4" eb="205">
      <t>ホン</t>
    </rPh>
    <rPh sb="205" eb="207">
      <t>セツモン</t>
    </rPh>
    <rPh sb="208" eb="210">
      <t>ソウダン</t>
    </rPh>
    <rPh sb="210" eb="212">
      <t>シエン</t>
    </rPh>
    <rPh sb="218" eb="220">
      <t>ソウダン</t>
    </rPh>
    <rPh sb="220" eb="222">
      <t>ケンスウ</t>
    </rPh>
    <rPh sb="222" eb="223">
      <t>オヨ</t>
    </rPh>
    <rPh sb="224" eb="226">
      <t>タイセイ</t>
    </rPh>
    <rPh sb="231" eb="232">
      <t>ウカガ</t>
    </rPh>
    <phoneticPr fontId="10"/>
  </si>
  <si>
    <r>
      <t>●年間の</t>
    </r>
    <r>
      <rPr>
        <sz val="11"/>
        <rFont val="ＭＳ Ｐゴシック"/>
        <family val="3"/>
        <charset val="128"/>
      </rPr>
      <t>のべ相談件数</t>
    </r>
    <rPh sb="1" eb="3">
      <t>ネンカン</t>
    </rPh>
    <rPh sb="6" eb="8">
      <t>ソウダン</t>
    </rPh>
    <rPh sb="8" eb="10">
      <t>ケンスウ</t>
    </rPh>
    <phoneticPr fontId="10"/>
  </si>
  <si>
    <t>１．相談件数（新規相談件数に限る）</t>
    <rPh sb="7" eb="9">
      <t>シンキ</t>
    </rPh>
    <rPh sb="9" eb="11">
      <t>ソウダン</t>
    </rPh>
    <rPh sb="11" eb="13">
      <t>ケンスウ</t>
    </rPh>
    <rPh sb="14" eb="15">
      <t>カギ</t>
    </rPh>
    <phoneticPr fontId="10"/>
  </si>
  <si>
    <t>相談者</t>
    <rPh sb="0" eb="2">
      <t>ソウダン</t>
    </rPh>
    <rPh sb="2" eb="3">
      <t>シャ</t>
    </rPh>
    <phoneticPr fontId="10"/>
  </si>
  <si>
    <t>計</t>
    <rPh sb="0" eb="1">
      <t>ケイ</t>
    </rPh>
    <phoneticPr fontId="10"/>
  </si>
  <si>
    <t>自施設の患者・家族</t>
    <rPh sb="0" eb="1">
      <t>ジ</t>
    </rPh>
    <rPh sb="1" eb="3">
      <t>シセツ</t>
    </rPh>
    <rPh sb="4" eb="6">
      <t>カンジャ</t>
    </rPh>
    <rPh sb="7" eb="9">
      <t>カゾク</t>
    </rPh>
    <phoneticPr fontId="10"/>
  </si>
  <si>
    <t>１以外の患者・家族・地域住民等</t>
    <rPh sb="1" eb="3">
      <t>イガイ</t>
    </rPh>
    <rPh sb="4" eb="6">
      <t>カンジャ</t>
    </rPh>
    <rPh sb="7" eb="9">
      <t>カゾク</t>
    </rPh>
    <rPh sb="10" eb="12">
      <t>チイキ</t>
    </rPh>
    <rPh sb="12" eb="14">
      <t>ジュウミン</t>
    </rPh>
    <rPh sb="14" eb="15">
      <t>トウ</t>
    </rPh>
    <phoneticPr fontId="10"/>
  </si>
  <si>
    <t>他の医療機関等の職員</t>
    <rPh sb="0" eb="1">
      <t>タ</t>
    </rPh>
    <rPh sb="2" eb="4">
      <t>イリョウ</t>
    </rPh>
    <rPh sb="4" eb="6">
      <t>キカン</t>
    </rPh>
    <rPh sb="6" eb="7">
      <t>ナド</t>
    </rPh>
    <rPh sb="8" eb="10">
      <t>ショクイン</t>
    </rPh>
    <phoneticPr fontId="10"/>
  </si>
  <si>
    <t>合計</t>
    <rPh sb="0" eb="2">
      <t>ゴウケイ</t>
    </rPh>
    <phoneticPr fontId="10"/>
  </si>
  <si>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10"/>
  </si>
  <si>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0"/>
  </si>
  <si>
    <t>08．臨床試験・先進医療</t>
  </si>
  <si>
    <t>相談内容</t>
    <rPh sb="0" eb="2">
      <t>ソウダン</t>
    </rPh>
    <rPh sb="2" eb="4">
      <t>ナイヨウ</t>
    </rPh>
    <phoneticPr fontId="10"/>
  </si>
  <si>
    <t>件数</t>
    <rPh sb="0" eb="2">
      <t>ケンスウ</t>
    </rPh>
    <phoneticPr fontId="10"/>
  </si>
  <si>
    <t>01.がんの治療</t>
    <rPh sb="6" eb="8">
      <t>チリョウ</t>
    </rPh>
    <phoneticPr fontId="10"/>
  </si>
  <si>
    <t>15.食事・服薬・入浴・運動・外出など</t>
    <rPh sb="3" eb="5">
      <t>ショクジ</t>
    </rPh>
    <rPh sb="6" eb="8">
      <t>フクヤク</t>
    </rPh>
    <rPh sb="9" eb="11">
      <t>ニュウヨク</t>
    </rPh>
    <rPh sb="12" eb="14">
      <t>ウンドウ</t>
    </rPh>
    <rPh sb="15" eb="17">
      <t>ガイシュツ</t>
    </rPh>
    <phoneticPr fontId="10"/>
  </si>
  <si>
    <t>02.がんの検査</t>
    <rPh sb="6" eb="8">
      <t>ケンサ</t>
    </rPh>
    <phoneticPr fontId="10"/>
  </si>
  <si>
    <t>16.介護・看護・養育</t>
    <rPh sb="3" eb="5">
      <t>カイゴ</t>
    </rPh>
    <rPh sb="6" eb="8">
      <t>カンゴ</t>
    </rPh>
    <rPh sb="9" eb="11">
      <t>ヨウイク</t>
    </rPh>
    <phoneticPr fontId="10"/>
  </si>
  <si>
    <t>03.症状・副作用・後遺症</t>
    <rPh sb="3" eb="5">
      <t>ショウジョウ</t>
    </rPh>
    <rPh sb="6" eb="9">
      <t>フクサヨウ</t>
    </rPh>
    <rPh sb="10" eb="13">
      <t>コウイショウ</t>
    </rPh>
    <phoneticPr fontId="10"/>
  </si>
  <si>
    <t>17-1.社会生活（仕事・就労）</t>
    <rPh sb="5" eb="7">
      <t>シャカイ</t>
    </rPh>
    <rPh sb="7" eb="9">
      <t>セイカツ</t>
    </rPh>
    <rPh sb="10" eb="12">
      <t>シゴト</t>
    </rPh>
    <rPh sb="13" eb="15">
      <t>シュウロウ</t>
    </rPh>
    <phoneticPr fontId="10"/>
  </si>
  <si>
    <t>　03-01.　03のうち妊孕性・生殖機能</t>
    <rPh sb="13" eb="16">
      <t>ニンヨウセイ</t>
    </rPh>
    <rPh sb="17" eb="19">
      <t>セイショク</t>
    </rPh>
    <rPh sb="19" eb="21">
      <t>キノウ</t>
    </rPh>
    <phoneticPr fontId="10"/>
  </si>
  <si>
    <t>17-2.社会生活（学業）</t>
    <rPh sb="5" eb="7">
      <t>シャカイ</t>
    </rPh>
    <rPh sb="7" eb="9">
      <t>セイカツ</t>
    </rPh>
    <rPh sb="10" eb="12">
      <t>ガクギョウ</t>
    </rPh>
    <phoneticPr fontId="10"/>
  </si>
  <si>
    <t>　03-02.　03のうちアピアランス</t>
    <phoneticPr fontId="10"/>
  </si>
  <si>
    <t>18.医療費・生活費・社会保障制度</t>
    <rPh sb="3" eb="6">
      <t>イリョウヒ</t>
    </rPh>
    <rPh sb="7" eb="10">
      <t>セイカツヒ</t>
    </rPh>
    <rPh sb="11" eb="13">
      <t>シャカイ</t>
    </rPh>
    <rPh sb="13" eb="15">
      <t>ホショウ</t>
    </rPh>
    <rPh sb="15" eb="17">
      <t>セイド</t>
    </rPh>
    <phoneticPr fontId="10"/>
  </si>
  <si>
    <t>　03-03.　03のうち晩期合併症</t>
    <rPh sb="13" eb="15">
      <t>バンキ</t>
    </rPh>
    <rPh sb="15" eb="18">
      <t>ガッペイショウ</t>
    </rPh>
    <phoneticPr fontId="10"/>
  </si>
  <si>
    <t>19.補完・代替医療</t>
    <rPh sb="3" eb="5">
      <t>ホカン</t>
    </rPh>
    <rPh sb="6" eb="8">
      <t>ダイタイ</t>
    </rPh>
    <rPh sb="8" eb="10">
      <t>イリョウ</t>
    </rPh>
    <phoneticPr fontId="10"/>
  </si>
  <si>
    <t>　03-04.　03のうち長期フォローアップ</t>
    <rPh sb="13" eb="15">
      <t>チョウキ</t>
    </rPh>
    <phoneticPr fontId="10"/>
  </si>
  <si>
    <t>20.生きがい・価値観</t>
    <rPh sb="3" eb="4">
      <t>イ</t>
    </rPh>
    <rPh sb="8" eb="11">
      <t>カチカン</t>
    </rPh>
    <phoneticPr fontId="10"/>
  </si>
  <si>
    <t>04.セカンドオピニオン（一般）</t>
    <rPh sb="13" eb="15">
      <t>イッパン</t>
    </rPh>
    <phoneticPr fontId="10"/>
  </si>
  <si>
    <t>21.不安・精神的苦痛</t>
    <rPh sb="3" eb="5">
      <t>フアン</t>
    </rPh>
    <rPh sb="6" eb="9">
      <t>セイシンテキ</t>
    </rPh>
    <rPh sb="9" eb="11">
      <t>クツウ</t>
    </rPh>
    <phoneticPr fontId="10"/>
  </si>
  <si>
    <t>05.セカンドオピニオン（受け入れ）</t>
    <rPh sb="13" eb="14">
      <t>ウ</t>
    </rPh>
    <rPh sb="15" eb="16">
      <t>イ</t>
    </rPh>
    <phoneticPr fontId="10"/>
  </si>
  <si>
    <t>22.告知</t>
    <rPh sb="3" eb="5">
      <t>コクチ</t>
    </rPh>
    <phoneticPr fontId="10"/>
  </si>
  <si>
    <t>06.セカンドオピニオン（他へ紹介）</t>
    <rPh sb="13" eb="14">
      <t>ホカ</t>
    </rPh>
    <rPh sb="15" eb="17">
      <t>ショウカイ</t>
    </rPh>
    <phoneticPr fontId="10"/>
  </si>
  <si>
    <t>23.医療者との関係・コミュニケーション</t>
    <rPh sb="3" eb="6">
      <t>イリョウシャ</t>
    </rPh>
    <rPh sb="8" eb="10">
      <t>カンケイ</t>
    </rPh>
    <phoneticPr fontId="10"/>
  </si>
  <si>
    <t>07.治療実績</t>
    <rPh sb="3" eb="5">
      <t>チリョウ</t>
    </rPh>
    <rPh sb="5" eb="7">
      <t>ジッセキ</t>
    </rPh>
    <phoneticPr fontId="10"/>
  </si>
  <si>
    <t>24.患者-家族間の関係・コミュニケーション</t>
    <rPh sb="3" eb="5">
      <t>カンジャ</t>
    </rPh>
    <rPh sb="6" eb="9">
      <t>カゾクカン</t>
    </rPh>
    <rPh sb="10" eb="12">
      <t>カンケイ</t>
    </rPh>
    <phoneticPr fontId="10"/>
  </si>
  <si>
    <t>08.臨床試験・先進医療</t>
    <rPh sb="3" eb="5">
      <t>リンショウ</t>
    </rPh>
    <rPh sb="5" eb="7">
      <t>シケン</t>
    </rPh>
    <rPh sb="8" eb="10">
      <t>センシン</t>
    </rPh>
    <rPh sb="10" eb="12">
      <t>イリョウ</t>
    </rPh>
    <phoneticPr fontId="10"/>
  </si>
  <si>
    <t>25.友人・知人・職場との関係・コミュニケーション</t>
    <rPh sb="3" eb="5">
      <t>ユウジン</t>
    </rPh>
    <rPh sb="6" eb="8">
      <t>チジン</t>
    </rPh>
    <rPh sb="9" eb="11">
      <t>ショクバ</t>
    </rPh>
    <rPh sb="13" eb="15">
      <t>カンケイ</t>
    </rPh>
    <phoneticPr fontId="10"/>
  </si>
  <si>
    <t>09.受診方法</t>
    <rPh sb="3" eb="5">
      <t>ジュシン</t>
    </rPh>
    <rPh sb="5" eb="7">
      <t>ホウホウ</t>
    </rPh>
    <phoneticPr fontId="10"/>
  </si>
  <si>
    <t>26.患者会・家族会（ピア情報）</t>
    <rPh sb="3" eb="5">
      <t>カンジャ</t>
    </rPh>
    <rPh sb="5" eb="6">
      <t>カイ</t>
    </rPh>
    <rPh sb="7" eb="10">
      <t>カゾクカイ</t>
    </rPh>
    <rPh sb="13" eb="15">
      <t>ジョウホウ</t>
    </rPh>
    <phoneticPr fontId="10"/>
  </si>
  <si>
    <t>10.転院</t>
    <rPh sb="3" eb="5">
      <t>テンイン</t>
    </rPh>
    <phoneticPr fontId="10"/>
  </si>
  <si>
    <t>88.不明</t>
    <rPh sb="3" eb="5">
      <t>フメイ</t>
    </rPh>
    <phoneticPr fontId="10"/>
  </si>
  <si>
    <t>11.医療機関の紹介</t>
    <rPh sb="3" eb="5">
      <t>イリョウ</t>
    </rPh>
    <rPh sb="5" eb="7">
      <t>キカン</t>
    </rPh>
    <rPh sb="8" eb="10">
      <t>ショウカイ</t>
    </rPh>
    <phoneticPr fontId="10"/>
  </si>
  <si>
    <t>99.その他（下段に自由記載してください）</t>
    <rPh sb="5" eb="6">
      <t>タ</t>
    </rPh>
    <rPh sb="7" eb="9">
      <t>カダン</t>
    </rPh>
    <rPh sb="10" eb="12">
      <t>ジユウ</t>
    </rPh>
    <rPh sb="12" eb="14">
      <t>キサイ</t>
    </rPh>
    <phoneticPr fontId="10"/>
  </si>
  <si>
    <t>12.がん予防・検診</t>
    <rPh sb="5" eb="7">
      <t>ヨボウ</t>
    </rPh>
    <rPh sb="8" eb="10">
      <t>ケンシン</t>
    </rPh>
    <phoneticPr fontId="10"/>
  </si>
  <si>
    <t>13.在宅医療</t>
    <rPh sb="3" eb="5">
      <t>ザイタク</t>
    </rPh>
    <rPh sb="5" eb="7">
      <t>イリョウ</t>
    </rPh>
    <phoneticPr fontId="10"/>
  </si>
  <si>
    <t>14.ホスピス・緩和ケア</t>
    <rPh sb="8" eb="10">
      <t>カンワ</t>
    </rPh>
    <phoneticPr fontId="10"/>
  </si>
  <si>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</si>
  <si>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</si>
  <si>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</si>
  <si>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</si>
  <si>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</si>
  <si>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</si>
  <si>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</si>
  <si>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</si>
  <si>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</si>
  <si>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</si>
  <si>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</si>
  <si>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</si>
  <si>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</si>
  <si>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</si>
  <si>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</si>
  <si>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</si>
  <si>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</si>
  <si>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</si>
  <si>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</si>
  <si>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</si>
  <si>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</si>
  <si>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</si>
  <si>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</si>
  <si>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</si>
  <si>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</si>
  <si>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</si>
  <si>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0"/>
  </si>
  <si>
    <t>相談支援センターの名称</t>
    <rPh sb="0" eb="2">
      <t>ソウダン</t>
    </rPh>
    <rPh sb="2" eb="4">
      <t>シエン</t>
    </rPh>
    <rPh sb="9" eb="11">
      <t>メイショウ</t>
    </rPh>
    <phoneticPr fontId="10"/>
  </si>
  <si>
    <t>問い合わせ先電話番号</t>
    <phoneticPr fontId="10"/>
  </si>
  <si>
    <t>WebサイトのURL</t>
    <phoneticPr fontId="10"/>
  </si>
  <si>
    <t>■対面相談の実施 （実施/未実施）</t>
    <rPh sb="1" eb="3">
      <t>タイメン</t>
    </rPh>
    <rPh sb="3" eb="5">
      <t>ソウダン</t>
    </rPh>
    <rPh sb="6" eb="8">
      <t>ジッシ</t>
    </rPh>
    <rPh sb="10" eb="12">
      <t>ジッシ</t>
    </rPh>
    <rPh sb="13" eb="16">
      <t>ミジッシ</t>
    </rPh>
    <phoneticPr fontId="10"/>
  </si>
  <si>
    <r>
      <t>予約の要否 （必要</t>
    </r>
    <r>
      <rPr>
        <sz val="11"/>
        <rFont val="ＭＳ Ｐゴシック"/>
        <family val="3"/>
        <charset val="128"/>
      </rPr>
      <t>/不要）</t>
    </r>
    <rPh sb="0" eb="2">
      <t>ヨヤク</t>
    </rPh>
    <rPh sb="3" eb="5">
      <t>ヨウヒ</t>
    </rPh>
    <rPh sb="7" eb="9">
      <t>ヒツヨウ</t>
    </rPh>
    <rPh sb="10" eb="12">
      <t>フヨウ</t>
    </rPh>
    <phoneticPr fontId="10"/>
  </si>
  <si>
    <t>■電話相談の実施 （実施/未実施）</t>
    <rPh sb="1" eb="3">
      <t>デンワ</t>
    </rPh>
    <rPh sb="3" eb="5">
      <t>ソウダン</t>
    </rPh>
    <rPh sb="6" eb="8">
      <t>ジッシ</t>
    </rPh>
    <phoneticPr fontId="10"/>
  </si>
  <si>
    <t>電話番号</t>
    <phoneticPr fontId="10"/>
  </si>
  <si>
    <t>予約の要否 （必要/不要）</t>
    <rPh sb="0" eb="2">
      <t>ヨヤク</t>
    </rPh>
    <rPh sb="3" eb="5">
      <t>ヨウヒ</t>
    </rPh>
    <phoneticPr fontId="10"/>
  </si>
  <si>
    <t>■FAX相談の実施 （実施/未実施）</t>
    <rPh sb="4" eb="6">
      <t>ソウダン</t>
    </rPh>
    <rPh sb="7" eb="9">
      <t>ジッシ</t>
    </rPh>
    <phoneticPr fontId="10"/>
  </si>
  <si>
    <t>FAX番号</t>
    <phoneticPr fontId="10"/>
  </si>
  <si>
    <r>
      <t xml:space="preserve">■電子メール相談の実施 
</t>
    </r>
    <r>
      <rPr>
        <b/>
        <sz val="10"/>
        <rFont val="ＭＳ Ｐゴシック"/>
        <family val="3"/>
        <charset val="128"/>
      </rPr>
      <t>（実施/未実施）</t>
    </r>
    <rPh sb="1" eb="3">
      <t>デンシ</t>
    </rPh>
    <rPh sb="6" eb="8">
      <t>ソウダン</t>
    </rPh>
    <rPh sb="9" eb="11">
      <t>ジッシ</t>
    </rPh>
    <phoneticPr fontId="10"/>
  </si>
  <si>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0"/>
  </si>
  <si>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0"/>
  </si>
  <si>
    <t>がん相談支援センターの体制</t>
    <rPh sb="2" eb="4">
      <t>ソウダン</t>
    </rPh>
    <rPh sb="4" eb="6">
      <t>シエン</t>
    </rPh>
    <rPh sb="11" eb="13">
      <t>タイセイ</t>
    </rPh>
    <phoneticPr fontId="10"/>
  </si>
  <si>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</si>
  <si>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10"/>
  </si>
  <si>
    <t>対象者</t>
    <rPh sb="0" eb="3">
      <t>タイショウシャ</t>
    </rPh>
    <phoneticPr fontId="10"/>
  </si>
  <si>
    <t>人数</t>
    <rPh sb="0" eb="2">
      <t>ニンズウ</t>
    </rPh>
    <phoneticPr fontId="10"/>
  </si>
  <si>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</si>
  <si>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</si>
  <si>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</si>
  <si>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10"/>
  </si>
  <si>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</si>
  <si>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10"/>
  </si>
  <si>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10"/>
  </si>
  <si>
    <t>②相談支援に携わる者のうち、上記以外の研修を受講した人数</t>
    <rPh sb="14" eb="16">
      <t>ジョウキ</t>
    </rPh>
    <rPh sb="16" eb="18">
      <t>イガイ</t>
    </rPh>
    <rPh sb="19" eb="21">
      <t>ケンシュウ</t>
    </rPh>
    <rPh sb="22" eb="24">
      <t>ジュコウ</t>
    </rPh>
    <rPh sb="26" eb="28">
      <t>ニンズウ</t>
    </rPh>
    <phoneticPr fontId="10"/>
  </si>
  <si>
    <t>②の具体例</t>
    <rPh sb="2" eb="4">
      <t>グタイ</t>
    </rPh>
    <rPh sb="4" eb="5">
      <t>レイ</t>
    </rPh>
    <phoneticPr fontId="10"/>
  </si>
  <si>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10"/>
  </si>
  <si>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※専従・専任・その他については、当該の相談支援に携わる者が８割以上当該業務に従事している場合には専従、５割以上８割未満の　
　　 場合には専任、５割未満の場合にはその他としてください。</t>
    <phoneticPr fontId="10"/>
  </si>
  <si>
    <r>
      <t>職種</t>
    </r>
    <r>
      <rPr>
        <sz val="11"/>
        <rFont val="ＭＳ Ｐゴシック"/>
        <family val="3"/>
        <charset val="128"/>
      </rPr>
      <t>等</t>
    </r>
    <rPh sb="0" eb="2">
      <t>ショクシュ</t>
    </rPh>
    <rPh sb="2" eb="3">
      <t>トウ</t>
    </rPh>
    <phoneticPr fontId="10"/>
  </si>
  <si>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</si>
  <si>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</si>
  <si>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</si>
  <si>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10"/>
  </si>
  <si>
    <t>社会福祉士</t>
    <rPh sb="0" eb="2">
      <t>シャカイ</t>
    </rPh>
    <rPh sb="2" eb="5">
      <t>フクシシ</t>
    </rPh>
    <phoneticPr fontId="10"/>
  </si>
  <si>
    <t>専従</t>
    <phoneticPr fontId="10"/>
  </si>
  <si>
    <t>看護師</t>
    <rPh sb="0" eb="3">
      <t>カンゴシ</t>
    </rPh>
    <phoneticPr fontId="10"/>
  </si>
  <si>
    <t>専任</t>
    <phoneticPr fontId="10"/>
  </si>
  <si>
    <t>社会福祉士</t>
  </si>
  <si>
    <t>その他</t>
  </si>
  <si>
    <t>精神保健福祉士</t>
  </si>
  <si>
    <t>看護師</t>
  </si>
  <si>
    <t>医療心理に携わる者</t>
  </si>
  <si>
    <t>■がん患者及びその家族が必ず一度はがん相談支援センターを訪問することができる体制</t>
    <phoneticPr fontId="10"/>
  </si>
  <si>
    <t>印刷範囲外</t>
    <phoneticPr fontId="10"/>
  </si>
  <si>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0"/>
  </si>
  <si>
    <t>　※必ずしも具体的な相談を伴わない、場所等の確認も含む</t>
    <phoneticPr fontId="10"/>
  </si>
  <si>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0"/>
  </si>
  <si>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0"/>
  </si>
  <si>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0"/>
  </si>
  <si>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0"/>
  </si>
  <si>
    <t>●就労に関する連携協力体制</t>
    <rPh sb="1" eb="3">
      <t>シュウロウ</t>
    </rPh>
    <rPh sb="4" eb="5">
      <t>カン</t>
    </rPh>
    <rPh sb="7" eb="9">
      <t>レンケイ</t>
    </rPh>
    <rPh sb="9" eb="11">
      <t>キョウリョク</t>
    </rPh>
    <rPh sb="11" eb="13">
      <t>タイセイ</t>
    </rPh>
    <phoneticPr fontId="10"/>
  </si>
  <si>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</si>
  <si>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0"/>
  </si>
  <si>
    <t>(複数回答可)</t>
    <rPh sb="1" eb="3">
      <t>フクスウ</t>
    </rPh>
    <rPh sb="3" eb="5">
      <t>カイトウ</t>
    </rPh>
    <rPh sb="5" eb="6">
      <t>カ</t>
    </rPh>
    <phoneticPr fontId="10"/>
  </si>
  <si>
    <t>●アピアランスケアに関する連携協力体制</t>
    <rPh sb="10" eb="11">
      <t>カン</t>
    </rPh>
    <rPh sb="13" eb="15">
      <t>レンケイ</t>
    </rPh>
    <rPh sb="15" eb="17">
      <t>キョウリョク</t>
    </rPh>
    <rPh sb="17" eb="19">
      <t>タイセイ</t>
    </rPh>
    <phoneticPr fontId="10"/>
  </si>
  <si>
    <t>　アピアランスに関する相談を院内で対応している</t>
    <rPh sb="8" eb="9">
      <t>カン</t>
    </rPh>
    <rPh sb="11" eb="13">
      <t>ソウダン</t>
    </rPh>
    <rPh sb="14" eb="16">
      <t>インナイ</t>
    </rPh>
    <rPh sb="17" eb="19">
      <t>タイオウ</t>
    </rPh>
    <phoneticPr fontId="10"/>
  </si>
  <si>
    <t>(はい/いいえ)</t>
    <phoneticPr fontId="10"/>
  </si>
  <si>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0"/>
  </si>
  <si>
    <t>（複数回答可）</t>
    <rPh sb="1" eb="3">
      <t>フクスウ</t>
    </rPh>
    <rPh sb="3" eb="5">
      <t>カイトウ</t>
    </rPh>
    <rPh sb="5" eb="6">
      <t>カ</t>
    </rPh>
    <phoneticPr fontId="10"/>
  </si>
  <si>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0"/>
  </si>
  <si>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10"/>
  </si>
  <si>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0"/>
  </si>
  <si>
    <t>　　　①-1意思決定支援に関わる医療従事者による相談を院内で実施している</t>
    <phoneticPr fontId="10"/>
  </si>
  <si>
    <t>　　　①-2意思決定支援に関わる医療従事者による相談を院外に依頼している</t>
    <phoneticPr fontId="10"/>
  </si>
  <si>
    <t>　②がん患者の妊孕性温存のための生殖医療</t>
    <rPh sb="4" eb="6">
      <t>カンジャ</t>
    </rPh>
    <rPh sb="7" eb="10">
      <t>ニンヨウセイ</t>
    </rPh>
    <rPh sb="10" eb="12">
      <t>オンゾン</t>
    </rPh>
    <rPh sb="16" eb="18">
      <t>セイショク</t>
    </rPh>
    <rPh sb="18" eb="20">
      <t>イリョウ</t>
    </rPh>
    <phoneticPr fontId="10"/>
  </si>
  <si>
    <t>　　　②-1がん患者の妊孕性温存のための生殖医療を専門とする自施設内の部門へ紹介した患者の人数</t>
    <rPh sb="11" eb="14">
      <t>ニンヨウセイ</t>
    </rPh>
    <rPh sb="30" eb="31">
      <t>ジ</t>
    </rPh>
    <rPh sb="33" eb="34">
      <t>ウチ</t>
    </rPh>
    <rPh sb="35" eb="37">
      <t>ブモン</t>
    </rPh>
    <phoneticPr fontId="10"/>
  </si>
  <si>
    <t>　　　②-2がん患者の妊孕性温存のための生殖医療を専門とする他施設へ紹介した患者の人数</t>
    <rPh sb="11" eb="14">
      <t>ニンヨウセイ</t>
    </rPh>
    <rPh sb="30" eb="31">
      <t>ホカ</t>
    </rPh>
    <phoneticPr fontId="10"/>
  </si>
  <si>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0"/>
  </si>
  <si>
    <t>　　　③-1紹介先施設名（複数回答可）</t>
    <phoneticPr fontId="10"/>
  </si>
  <si>
    <t>　④他の自治体のがん・生殖医療ネットワークを通じて、生殖医療を専門とする施設に紹介している</t>
    <phoneticPr fontId="10"/>
  </si>
  <si>
    <t>　　　④-1紹介先施設名（複数回答可）</t>
    <phoneticPr fontId="10"/>
  </si>
  <si>
    <t>　⑤意思決定支援に関わる人材育成を実施している（「いいえ」の場合は⑤-1、⑤-2は「いいえ」を記入ください。）</t>
    <rPh sb="47" eb="49">
      <t>キニュウ</t>
    </rPh>
    <phoneticPr fontId="10"/>
  </si>
  <si>
    <t>　　　⑤-1研修会を院内で実施している</t>
    <phoneticPr fontId="10"/>
  </si>
  <si>
    <t>　　　⑤-2学会等の研修会への参加を励行している</t>
    <phoneticPr fontId="10"/>
  </si>
  <si>
    <t>●がん患者の自殺リスクに対する体制</t>
    <rPh sb="3" eb="5">
      <t>カンジャ</t>
    </rPh>
    <rPh sb="6" eb="8">
      <t>ジサツ</t>
    </rPh>
    <rPh sb="12" eb="13">
      <t>タイ</t>
    </rPh>
    <rPh sb="15" eb="17">
      <t>タイセイ</t>
    </rPh>
    <phoneticPr fontId="10"/>
  </si>
  <si>
    <t>院内で自殺リスクに対する研修を開いている。</t>
    <rPh sb="0" eb="2">
      <t>インナイ</t>
    </rPh>
    <rPh sb="3" eb="5">
      <t>ジサツ</t>
    </rPh>
    <rPh sb="9" eb="10">
      <t>タイ</t>
    </rPh>
    <rPh sb="12" eb="14">
      <t>ケンシュウ</t>
    </rPh>
    <rPh sb="15" eb="16">
      <t>ヒラ</t>
    </rPh>
    <phoneticPr fontId="10"/>
  </si>
  <si>
    <t>●患者サロン等の開催状況</t>
  </si>
  <si>
    <t>　①患者サロンの開催件数</t>
    <rPh sb="2" eb="4">
      <t>カンジャ</t>
    </rPh>
    <rPh sb="8" eb="10">
      <t>カイサイ</t>
    </rPh>
    <rPh sb="10" eb="12">
      <t>ケンスウ</t>
    </rPh>
    <phoneticPr fontId="10"/>
  </si>
  <si>
    <t>　②患者会の開催件数</t>
    <rPh sb="2" eb="4">
      <t>カンジャ</t>
    </rPh>
    <rPh sb="4" eb="5">
      <t>カイ</t>
    </rPh>
    <rPh sb="6" eb="8">
      <t>カイサイ</t>
    </rPh>
    <rPh sb="8" eb="10">
      <t>ケンスウ</t>
    </rPh>
    <phoneticPr fontId="10"/>
  </si>
  <si>
    <t>②-1患者会のうち、オンラインで開催した件数</t>
    <rPh sb="3" eb="5">
      <t>カンジャ</t>
    </rPh>
    <rPh sb="5" eb="6">
      <t>カイ</t>
    </rPh>
    <rPh sb="16" eb="18">
      <t>カイサイ</t>
    </rPh>
    <rPh sb="20" eb="22">
      <t>ケンスウ</t>
    </rPh>
    <phoneticPr fontId="10"/>
  </si>
  <si>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</si>
  <si>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0"/>
  </si>
  <si>
    <t>　①連携協力しているがん患者団体数</t>
  </si>
  <si>
    <t>　②連携協力しているがん患者団体</t>
    <rPh sb="2" eb="4">
      <t>レンケイ</t>
    </rPh>
    <rPh sb="4" eb="6">
      <t>キョウリョク</t>
    </rPh>
    <rPh sb="12" eb="14">
      <t>カンジャ</t>
    </rPh>
    <rPh sb="14" eb="16">
      <t>ダンタイ</t>
    </rPh>
    <phoneticPr fontId="10"/>
  </si>
  <si>
    <t>　　※代表的ながん患者団体のみ記載してください。</t>
    <rPh sb="3" eb="6">
      <t>ダイヒョウテキ</t>
    </rPh>
    <rPh sb="9" eb="11">
      <t>カンジャ</t>
    </rPh>
    <rPh sb="11" eb="13">
      <t>ダンタイ</t>
    </rPh>
    <rPh sb="15" eb="17">
      <t>キサイ</t>
    </rPh>
    <phoneticPr fontId="10"/>
  </si>
  <si>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0"/>
  </si>
  <si>
    <t>　　※「紹介の可否」には、患者さんや家族から、その団体について問い合わせがあった際、具体的な紹介ができるかどうかについて記載してください。</t>
    <phoneticPr fontId="10"/>
  </si>
  <si>
    <t>連携協力しているがん患者団体</t>
    <rPh sb="0" eb="2">
      <t>レンケイ</t>
    </rPh>
    <rPh sb="2" eb="4">
      <t>キョウリョク</t>
    </rPh>
    <rPh sb="10" eb="12">
      <t>カンジャ</t>
    </rPh>
    <rPh sb="12" eb="14">
      <t>ダンタイ</t>
    </rPh>
    <phoneticPr fontId="10"/>
  </si>
  <si>
    <t>具体的な連携協力の内容</t>
    <rPh sb="0" eb="3">
      <t>グタイテキ</t>
    </rPh>
    <rPh sb="4" eb="6">
      <t>レンケイ</t>
    </rPh>
    <rPh sb="6" eb="8">
      <t>キョウリョク</t>
    </rPh>
    <rPh sb="9" eb="11">
      <t>ナイヨウ</t>
    </rPh>
    <phoneticPr fontId="10"/>
  </si>
  <si>
    <t>紹介の可否</t>
    <rPh sb="0" eb="2">
      <t>ショウカイ</t>
    </rPh>
    <rPh sb="3" eb="5">
      <t>カヒ</t>
    </rPh>
    <phoneticPr fontId="10"/>
  </si>
  <si>
    <t>団体名</t>
    <rPh sb="0" eb="3">
      <t>ダンタイメイ</t>
    </rPh>
    <phoneticPr fontId="10"/>
  </si>
  <si>
    <t>参加対象者
の疾患名</t>
    <rPh sb="0" eb="2">
      <t>サンカ</t>
    </rPh>
    <rPh sb="2" eb="5">
      <t>タイショウシャ</t>
    </rPh>
    <rPh sb="7" eb="9">
      <t>シッカン</t>
    </rPh>
    <rPh sb="9" eb="10">
      <t>ナ</t>
    </rPh>
    <phoneticPr fontId="10"/>
  </si>
  <si>
    <t>○○○○○会</t>
    <rPh sb="5" eb="6">
      <t>カイ</t>
    </rPh>
    <phoneticPr fontId="10"/>
  </si>
  <si>
    <t>造血器腫瘍</t>
    <rPh sb="0" eb="3">
      <t>ゾウケツキ</t>
    </rPh>
    <rPh sb="3" eb="5">
      <t>シュヨウ</t>
    </rPh>
    <phoneticPr fontId="10"/>
  </si>
  <si>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0"/>
  </si>
  <si>
    <t>可</t>
    <rPh sb="0" eb="1">
      <t>カ</t>
    </rPh>
    <phoneticPr fontId="10"/>
  </si>
  <si>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0"/>
  </si>
  <si>
    <t>すべてのがん</t>
    <phoneticPr fontId="10"/>
  </si>
  <si>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0"/>
  </si>
  <si>
    <t>不可</t>
    <rPh sb="0" eb="2">
      <t>フカ</t>
    </rPh>
    <phoneticPr fontId="10"/>
  </si>
  <si>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0"/>
  </si>
  <si>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0"/>
  </si>
  <si>
    <t>頭部／頸部</t>
    <rPh sb="3" eb="4">
      <t>クビ</t>
    </rPh>
    <rPh sb="4" eb="5">
      <t>ブ</t>
    </rPh>
    <phoneticPr fontId="10"/>
  </si>
  <si>
    <t>消化管</t>
    <phoneticPr fontId="10"/>
  </si>
  <si>
    <t>泌尿器</t>
    <phoneticPr fontId="10"/>
  </si>
  <si>
    <t>女性</t>
    <phoneticPr fontId="10"/>
  </si>
  <si>
    <t>その他</t>
    <phoneticPr fontId="10"/>
  </si>
  <si>
    <t>脳腫瘍
脊髄腫瘍
眼・眼窩腫瘍
口腔がん
咽頭がん・喉頭がん甲状腺がん</t>
    <phoneticPr fontId="10"/>
  </si>
  <si>
    <t>食道がん
胃がん
小腸がん
大腸がん
GIST</t>
    <phoneticPr fontId="10"/>
  </si>
  <si>
    <t>腎がん
尿路がん
膀胱がん
副腎腫瘍</t>
    <phoneticPr fontId="10"/>
  </si>
  <si>
    <t>子宮頸がん・子宮体がん
卵巣がん
その他の女性生殖器がん</t>
    <phoneticPr fontId="10"/>
  </si>
  <si>
    <t>後腹膜・腹膜腫瘍
性腺外胚細胞腫瘍
原発不明がん</t>
    <rPh sb="0" eb="1">
      <t>ウシロ</t>
    </rPh>
    <rPh sb="1" eb="3">
      <t>フクマク</t>
    </rPh>
    <rPh sb="4" eb="6">
      <t>フクマク</t>
    </rPh>
    <rPh sb="6" eb="8">
      <t>シュヨウ</t>
    </rPh>
    <phoneticPr fontId="10"/>
  </si>
  <si>
    <t>胸部</t>
    <phoneticPr fontId="10"/>
  </si>
  <si>
    <t>肝臓
／胆道
／膵臓</t>
    <phoneticPr fontId="10"/>
  </si>
  <si>
    <t>男性</t>
    <phoneticPr fontId="10"/>
  </si>
  <si>
    <t>皮膚／骨と軟部組織</t>
    <phoneticPr fontId="10"/>
  </si>
  <si>
    <t>小児</t>
    <rPh sb="0" eb="2">
      <t>ショウニ</t>
    </rPh>
    <phoneticPr fontId="10"/>
  </si>
  <si>
    <t>肺がん
乳がん
縦隔腫瘍
中皮腫</t>
    <phoneticPr fontId="10"/>
  </si>
  <si>
    <t>肝がん
胆道がん
膵がん</t>
    <phoneticPr fontId="10"/>
  </si>
  <si>
    <t>前立腺がん
精巣がん
その他の男性生殖器がん</t>
    <phoneticPr fontId="10"/>
  </si>
  <si>
    <t>皮膚腫瘍
悪性骨軟部腫瘍</t>
    <phoneticPr fontId="10"/>
  </si>
  <si>
    <t>小児脳腫瘍
小児の眼・眼窩腫瘍
小児悪性骨軟部腫瘍
その他の小児固形腫瘍
小児造血器腫瘍</t>
    <rPh sb="39" eb="42">
      <t>ゾウケツキ</t>
    </rPh>
    <phoneticPr fontId="10"/>
  </si>
  <si>
    <t>血液・リンパ</t>
    <phoneticPr fontId="10"/>
  </si>
  <si>
    <t>造血器腫瘍</t>
    <rPh sb="0" eb="3">
      <t>ゾウケツキ</t>
    </rPh>
    <phoneticPr fontId="10"/>
  </si>
  <si>
    <t>１．</t>
    <phoneticPr fontId="10"/>
  </si>
  <si>
    <t>【 ストーマ外来 】の問い合わせ窓口</t>
    <rPh sb="11" eb="12">
      <t>ト</t>
    </rPh>
    <rPh sb="13" eb="14">
      <t>ア</t>
    </rPh>
    <rPh sb="16" eb="18">
      <t>マドグチ</t>
    </rPh>
    <phoneticPr fontId="10"/>
  </si>
  <si>
    <t>ストーマ外来が設定されている （はい/いいえ）</t>
    <rPh sb="7" eb="9">
      <t>セッテイ</t>
    </rPh>
    <phoneticPr fontId="10"/>
  </si>
  <si>
    <t>上記外来の名称</t>
    <rPh sb="0" eb="2">
      <t>ジョウキ</t>
    </rPh>
    <rPh sb="2" eb="4">
      <t>ガイライ</t>
    </rPh>
    <rPh sb="5" eb="7">
      <t>メイショウ</t>
    </rPh>
    <phoneticPr fontId="10"/>
  </si>
  <si>
    <t>対象となるストーマの種類</t>
    <rPh sb="10" eb="12">
      <t>シュルイ</t>
    </rPh>
    <phoneticPr fontId="10"/>
  </si>
  <si>
    <t>対象となる疾患名</t>
    <rPh sb="5" eb="7">
      <t>シッカン</t>
    </rPh>
    <rPh sb="7" eb="8">
      <t>ナ</t>
    </rPh>
    <phoneticPr fontId="10"/>
  </si>
  <si>
    <t>他施設でがんの診療を受けている、または、診療を受けていた患者さんを受け入れている （はい/いいえ）</t>
    <rPh sb="0" eb="1">
      <t>タ</t>
    </rPh>
    <rPh sb="1" eb="3">
      <t>シセツ</t>
    </rPh>
    <phoneticPr fontId="10"/>
  </si>
  <si>
    <t>２．</t>
    <phoneticPr fontId="10"/>
  </si>
  <si>
    <t>【 リンパ浮腫外来 】の問い合わせ窓口</t>
    <rPh sb="12" eb="13">
      <t>ト</t>
    </rPh>
    <rPh sb="14" eb="15">
      <t>ア</t>
    </rPh>
    <rPh sb="17" eb="19">
      <t>マドグチ</t>
    </rPh>
    <phoneticPr fontId="10"/>
  </si>
  <si>
    <t>リンパ浮腫外来が設定されている</t>
    <rPh sb="8" eb="10">
      <t>セッテイ</t>
    </rPh>
    <phoneticPr fontId="10"/>
  </si>
  <si>
    <t>（はい/いいえ）</t>
    <phoneticPr fontId="10"/>
  </si>
  <si>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0"/>
  </si>
  <si>
    <t>研修を修了した担当者が配置されている※</t>
    <rPh sb="0" eb="2">
      <t>ケンシュウ</t>
    </rPh>
    <rPh sb="3" eb="5">
      <t>シュウリョウ</t>
    </rPh>
    <rPh sb="7" eb="10">
      <t>タントウシャ</t>
    </rPh>
    <rPh sb="11" eb="13">
      <t>ハイチ</t>
    </rPh>
    <phoneticPr fontId="10"/>
  </si>
  <si>
    <t>対象となる疾患名</t>
    <phoneticPr fontId="10"/>
  </si>
  <si>
    <t>リンパ浮腫の診療担当科</t>
    <phoneticPr fontId="10"/>
  </si>
  <si>
    <t>リンパ浮腫の入院治療に対応している</t>
    <phoneticPr fontId="10"/>
  </si>
  <si>
    <t>（対応している/対応していない）</t>
    <phoneticPr fontId="10"/>
  </si>
  <si>
    <t>他施設でがんの診療を受けている、または診療を受けていた患者さんを受け入れている （はい/いいえ）</t>
    <rPh sb="0" eb="1">
      <t>タ</t>
    </rPh>
    <rPh sb="1" eb="3">
      <t>シセツ</t>
    </rPh>
    <rPh sb="19" eb="21">
      <t>シンリョウ</t>
    </rPh>
    <phoneticPr fontId="10"/>
  </si>
  <si>
    <t>３．</t>
    <phoneticPr fontId="10"/>
  </si>
  <si>
    <t>【 禁煙外来 】の問い合わせ窓口</t>
    <rPh sb="2" eb="4">
      <t>キンエン</t>
    </rPh>
    <rPh sb="4" eb="6">
      <t>ガイライ</t>
    </rPh>
    <rPh sb="9" eb="10">
      <t>ト</t>
    </rPh>
    <rPh sb="11" eb="12">
      <t>ア</t>
    </rPh>
    <rPh sb="14" eb="16">
      <t>マドグチ</t>
    </rPh>
    <phoneticPr fontId="10"/>
  </si>
  <si>
    <t>禁煙外来が設定されている （はい/いいえ）</t>
    <rPh sb="0" eb="2">
      <t>キンエン</t>
    </rPh>
    <rPh sb="5" eb="7">
      <t>セッテイ</t>
    </rPh>
    <phoneticPr fontId="10"/>
  </si>
  <si>
    <t>４．</t>
    <phoneticPr fontId="10"/>
  </si>
  <si>
    <t>【 アスベスト外来 】の問い合わせ窓口</t>
    <rPh sb="7" eb="9">
      <t>ガイライ</t>
    </rPh>
    <rPh sb="12" eb="13">
      <t>ト</t>
    </rPh>
    <rPh sb="14" eb="15">
      <t>ア</t>
    </rPh>
    <rPh sb="17" eb="19">
      <t>マドグチ</t>
    </rPh>
    <phoneticPr fontId="10"/>
  </si>
  <si>
    <t>アスベスト外来が設定されている （はい/いいえ）</t>
    <rPh sb="8" eb="10">
      <t>セッテイ</t>
    </rPh>
    <phoneticPr fontId="10"/>
  </si>
  <si>
    <t>５．</t>
    <phoneticPr fontId="10"/>
  </si>
  <si>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0"/>
  </si>
  <si>
    <t>遺伝性腫瘍外来が設定されている （はい/いいえ）</t>
    <rPh sb="0" eb="3">
      <t>イデンセイ</t>
    </rPh>
    <rPh sb="3" eb="5">
      <t>シュヨウ</t>
    </rPh>
    <rPh sb="5" eb="7">
      <t>ガイライ</t>
    </rPh>
    <rPh sb="8" eb="10">
      <t>セッテイ</t>
    </rPh>
    <phoneticPr fontId="10"/>
  </si>
  <si>
    <t>６．</t>
    <phoneticPr fontId="10"/>
  </si>
  <si>
    <t>追加で記載を希望する外来について</t>
    <rPh sb="0" eb="2">
      <t>ツイカ</t>
    </rPh>
    <rPh sb="3" eb="5">
      <t>キサイ</t>
    </rPh>
    <rPh sb="6" eb="8">
      <t>キボウ</t>
    </rPh>
    <rPh sb="10" eb="12">
      <t>ガイライ</t>
    </rPh>
    <phoneticPr fontId="10"/>
  </si>
  <si>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0"/>
  </si>
  <si>
    <t>院内がん登録部門の体制</t>
    <rPh sb="0" eb="2">
      <t>インナイ</t>
    </rPh>
    <rPh sb="4" eb="6">
      <t>トウロク</t>
    </rPh>
    <rPh sb="6" eb="8">
      <t>ブモン</t>
    </rPh>
    <rPh sb="9" eb="11">
      <t>タイセイ</t>
    </rPh>
    <phoneticPr fontId="10"/>
  </si>
  <si>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</si>
  <si>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0"/>
  </si>
  <si>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</si>
  <si>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0"/>
  </si>
  <si>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0"/>
  </si>
  <si>
    <t>院内がん
登録業務の
経験年数
（年）</t>
    <rPh sb="0" eb="2">
      <t>インナイ</t>
    </rPh>
    <rPh sb="5" eb="7">
      <t>トウロク</t>
    </rPh>
    <rPh sb="7" eb="9">
      <t>ギョウム</t>
    </rPh>
    <rPh sb="11" eb="13">
      <t>ケイケン</t>
    </rPh>
    <rPh sb="13" eb="15">
      <t>ネンスウ</t>
    </rPh>
    <rPh sb="17" eb="18">
      <t>ネン</t>
    </rPh>
    <phoneticPr fontId="10"/>
  </si>
  <si>
    <t>常勤
/非常勤</t>
    <rPh sb="0" eb="2">
      <t>ジョウキン</t>
    </rPh>
    <rPh sb="4" eb="7">
      <t>ヒジョウキン</t>
    </rPh>
    <phoneticPr fontId="10"/>
  </si>
  <si>
    <t>院内がん登録業務
についての
専従/専任/その他</t>
    <rPh sb="0" eb="2">
      <t>インナイ</t>
    </rPh>
    <rPh sb="4" eb="6">
      <t>トウロク</t>
    </rPh>
    <rPh sb="6" eb="8">
      <t>ギョウム</t>
    </rPh>
    <rPh sb="15" eb="17">
      <t>センジュウ</t>
    </rPh>
    <rPh sb="18" eb="20">
      <t>センニン</t>
    </rPh>
    <rPh sb="23" eb="24">
      <t>タ</t>
    </rPh>
    <phoneticPr fontId="10"/>
  </si>
  <si>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0"/>
  </si>
  <si>
    <t>研修会名・受講状況</t>
    <rPh sb="0" eb="2">
      <t>ケンシュウ</t>
    </rPh>
    <rPh sb="2" eb="3">
      <t>カイ</t>
    </rPh>
    <rPh sb="3" eb="4">
      <t>メイ</t>
    </rPh>
    <rPh sb="5" eb="7">
      <t>ジュコウ</t>
    </rPh>
    <rPh sb="7" eb="9">
      <t>ジョウキョウ</t>
    </rPh>
    <phoneticPr fontId="10"/>
  </si>
  <si>
    <t>診療情報管理士</t>
  </si>
  <si>
    <t>専従(8割以上)</t>
    <rPh sb="0" eb="2">
      <t>センジュウ</t>
    </rPh>
    <rPh sb="4" eb="7">
      <t>ワリイジョウ</t>
    </rPh>
    <phoneticPr fontId="10"/>
  </si>
  <si>
    <t>初級認定者（みなし含む）</t>
    <phoneticPr fontId="10"/>
  </si>
  <si>
    <t>なし</t>
  </si>
  <si>
    <t>非常勤</t>
    <rPh sb="0" eb="1">
      <t>ヒ</t>
    </rPh>
    <rPh sb="1" eb="3">
      <t>ジョウキン</t>
    </rPh>
    <phoneticPr fontId="10"/>
  </si>
  <si>
    <t>専任(5割以上8割未満)</t>
    <rPh sb="0" eb="2">
      <t>センニン</t>
    </rPh>
    <rPh sb="4" eb="7">
      <t>ワリイジョウ</t>
    </rPh>
    <rPh sb="8" eb="9">
      <t>ワリ</t>
    </rPh>
    <rPh sb="9" eb="11">
      <t>ミマン</t>
    </rPh>
    <phoneticPr fontId="10"/>
  </si>
  <si>
    <t>初級認定試験・受験なし</t>
    <phoneticPr fontId="10"/>
  </si>
  <si>
    <t>臨床試験・治験の実施状況および問い合わせ窓口</t>
    <rPh sb="8" eb="10">
      <t>ジッシ</t>
    </rPh>
    <rPh sb="10" eb="12">
      <t>ジョウキョウ</t>
    </rPh>
    <rPh sb="15" eb="16">
      <t>ト</t>
    </rPh>
    <rPh sb="17" eb="18">
      <t>ア</t>
    </rPh>
    <rPh sb="20" eb="22">
      <t>マドグチ</t>
    </rPh>
    <phoneticPr fontId="10"/>
  </si>
  <si>
    <t>臨床試験・治験の問い合わせ窓口</t>
    <rPh sb="0" eb="2">
      <t>リンショウ</t>
    </rPh>
    <rPh sb="2" eb="4">
      <t>シケン</t>
    </rPh>
    <rPh sb="5" eb="7">
      <t>チケン</t>
    </rPh>
    <rPh sb="8" eb="9">
      <t>ト</t>
    </rPh>
    <rPh sb="10" eb="11">
      <t>ア</t>
    </rPh>
    <rPh sb="13" eb="15">
      <t>マドグチ</t>
    </rPh>
    <phoneticPr fontId="10"/>
  </si>
  <si>
    <t>1）</t>
    <phoneticPr fontId="10"/>
  </si>
  <si>
    <t>【 臨床試験（治験を除く） 】の問い合わせ窓口</t>
    <rPh sb="2" eb="4">
      <t>リンショウ</t>
    </rPh>
    <rPh sb="4" eb="6">
      <t>シケン</t>
    </rPh>
    <rPh sb="7" eb="9">
      <t>チケン</t>
    </rPh>
    <rPh sb="10" eb="11">
      <t>ノゾ</t>
    </rPh>
    <rPh sb="16" eb="17">
      <t>ト</t>
    </rPh>
    <rPh sb="18" eb="19">
      <t>ア</t>
    </rPh>
    <rPh sb="21" eb="23">
      <t>マドグチ</t>
    </rPh>
    <phoneticPr fontId="10"/>
  </si>
  <si>
    <t>■臨床試験に参加していない、地域の患者さんやご家族向けの問い合わせ窓口の有無について</t>
    <rPh sb="1" eb="3">
      <t>リンショウ</t>
    </rPh>
    <rPh sb="3" eb="5">
      <t>シケン</t>
    </rPh>
    <rPh sb="6" eb="8">
      <t>サンカ</t>
    </rPh>
    <rPh sb="36" eb="38">
      <t>ウム</t>
    </rPh>
    <phoneticPr fontId="10"/>
  </si>
  <si>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0"/>
  </si>
  <si>
    <t>問い合わせへ対応している方法に○をつけてください。</t>
    <phoneticPr fontId="10"/>
  </si>
  <si>
    <t>窓口</t>
    <rPh sb="0" eb="2">
      <t>マドグチ</t>
    </rPh>
    <phoneticPr fontId="10"/>
  </si>
  <si>
    <t>電話</t>
    <rPh sb="0" eb="2">
      <t>デンワ</t>
    </rPh>
    <phoneticPr fontId="10"/>
  </si>
  <si>
    <t>FAX</t>
    <phoneticPr fontId="10"/>
  </si>
  <si>
    <t>電子メール</t>
    <rPh sb="0" eb="2">
      <t>デンシ</t>
    </rPh>
    <phoneticPr fontId="10"/>
  </si>
  <si>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0"/>
  </si>
  <si>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10"/>
  </si>
  <si>
    <t>2）</t>
    <phoneticPr fontId="10"/>
  </si>
  <si>
    <t>【 治験 】の問い合わせ窓口</t>
    <rPh sb="2" eb="4">
      <t>チケン</t>
    </rPh>
    <rPh sb="7" eb="8">
      <t>ト</t>
    </rPh>
    <rPh sb="9" eb="10">
      <t>ア</t>
    </rPh>
    <rPh sb="12" eb="14">
      <t>マドグチ</t>
    </rPh>
    <phoneticPr fontId="10"/>
  </si>
  <si>
    <t>■治験に参加していない、地域の患者さんやご家族向けの問い合わせ窓口について</t>
    <rPh sb="1" eb="3">
      <t>チケン</t>
    </rPh>
    <rPh sb="4" eb="6">
      <t>サンカ</t>
    </rPh>
    <phoneticPr fontId="10"/>
  </si>
  <si>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0"/>
  </si>
  <si>
    <t>■治験に参加していない、地域の医療機関向けの問い合わせ窓口について</t>
    <rPh sb="12" eb="14">
      <t>チイキ</t>
    </rPh>
    <rPh sb="15" eb="17">
      <t>イリョウ</t>
    </rPh>
    <rPh sb="17" eb="19">
      <t>キカン</t>
    </rPh>
    <phoneticPr fontId="10"/>
  </si>
  <si>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10"/>
  </si>
  <si>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10"/>
  </si>
  <si>
    <t>調査研究の問い合わせ窓口</t>
    <rPh sb="0" eb="2">
      <t>チョウサ</t>
    </rPh>
    <rPh sb="2" eb="4">
      <t>ケンキュウ</t>
    </rPh>
    <rPh sb="5" eb="6">
      <t>ト</t>
    </rPh>
    <rPh sb="7" eb="8">
      <t>ア</t>
    </rPh>
    <rPh sb="10" eb="12">
      <t>マドグチ</t>
    </rPh>
    <phoneticPr fontId="10"/>
  </si>
  <si>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</si>
  <si>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10"/>
  </si>
  <si>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10"/>
  </si>
  <si>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10"/>
  </si>
  <si>
    <t>政策的公衆衛生的に必要性の高い調査研究に対応する窓口についての情報</t>
    <rPh sb="31" eb="33">
      <t>ジョウホウ</t>
    </rPh>
    <phoneticPr fontId="10"/>
  </si>
  <si>
    <t>窓口の名称（〇〇係等）</t>
    <rPh sb="3" eb="5">
      <t>メイショウ</t>
    </rPh>
    <rPh sb="8" eb="9">
      <t>カカリ</t>
    </rPh>
    <rPh sb="9" eb="10">
      <t>ナド</t>
    </rPh>
    <phoneticPr fontId="10"/>
  </si>
  <si>
    <t>メールアドレス※</t>
    <phoneticPr fontId="10"/>
  </si>
  <si>
    <t>２）</t>
    <phoneticPr fontId="10"/>
  </si>
  <si>
    <t>QI研究への参加状況</t>
    <rPh sb="2" eb="4">
      <t>ケンキュウ</t>
    </rPh>
    <rPh sb="6" eb="8">
      <t>サンカ</t>
    </rPh>
    <rPh sb="8" eb="10">
      <t>ジョウキョウ</t>
    </rPh>
    <phoneticPr fontId="10"/>
  </si>
  <si>
    <t>国立がん研究センターのQI研究に参加している</t>
  </si>
  <si>
    <t>院内のチーム医療の提供体制</t>
    <rPh sb="0" eb="2">
      <t>インナイ</t>
    </rPh>
    <rPh sb="6" eb="8">
      <t>イリョウ</t>
    </rPh>
    <rPh sb="9" eb="11">
      <t>テイキョウ</t>
    </rPh>
    <rPh sb="11" eb="13">
      <t>タイセイ</t>
    </rPh>
    <phoneticPr fontId="9"/>
  </si>
  <si>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0"/>
  </si>
  <si>
    <t>院内に口腔ケアチームが設置されている。
（周術期等口腔機能管理に関する項目が算定できる体制であること。）</t>
    <rPh sb="0" eb="2">
      <t>インナイ</t>
    </rPh>
    <rPh sb="3" eb="5">
      <t>コウクウ</t>
    </rPh>
    <rPh sb="11" eb="13">
      <t>セッチ</t>
    </rPh>
    <phoneticPr fontId="10"/>
  </si>
  <si>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0"/>
  </si>
  <si>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0"/>
  </si>
  <si>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0"/>
  </si>
  <si>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0"/>
  </si>
  <si>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0"/>
  </si>
  <si>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0"/>
  </si>
  <si>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</si>
  <si>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</si>
  <si>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0"/>
  </si>
  <si>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0"/>
  </si>
  <si>
    <t>注1）研修医は除いてください。</t>
    <phoneticPr fontId="10"/>
  </si>
  <si>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0"/>
  </si>
  <si>
    <t>注3）「専従」および「専任」とは、当該医療機関における当該診療従事者が「専従」については「8割以上」、「専任」については「5割以上」、当該業務に従事している者をいいます。</t>
    <phoneticPr fontId="10"/>
  </si>
  <si>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0"/>
  </si>
  <si>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</si>
  <si>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</si>
  <si>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</si>
  <si>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0"/>
  </si>
  <si>
    <t>受講した研修名</t>
    <rPh sb="0" eb="2">
      <t>ジュコウ</t>
    </rPh>
    <rPh sb="4" eb="6">
      <t>ケンシュウ</t>
    </rPh>
    <rPh sb="6" eb="7">
      <t>メイ</t>
    </rPh>
    <phoneticPr fontId="10"/>
  </si>
  <si>
    <t>研修主催者名</t>
    <rPh sb="0" eb="2">
      <t>ケンシュウ</t>
    </rPh>
    <rPh sb="2" eb="5">
      <t>シュサイシャ</t>
    </rPh>
    <rPh sb="5" eb="6">
      <t>メイ</t>
    </rPh>
    <phoneticPr fontId="10"/>
  </si>
  <si>
    <t>修了日</t>
    <rPh sb="0" eb="2">
      <t>シュウリョウ</t>
    </rPh>
    <rPh sb="2" eb="3">
      <t>ビ</t>
    </rPh>
    <phoneticPr fontId="10"/>
  </si>
  <si>
    <t>部門長</t>
    <rPh sb="0" eb="3">
      <t>ブモンチョウ</t>
    </rPh>
    <phoneticPr fontId="10"/>
  </si>
  <si>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10"/>
  </si>
  <si>
    <t>活用した第三者評価</t>
    <rPh sb="0" eb="2">
      <t>カツヨウ</t>
    </rPh>
    <rPh sb="4" eb="7">
      <t>ダイサンシャ</t>
    </rPh>
    <rPh sb="7" eb="9">
      <t>ヒョウカ</t>
    </rPh>
    <phoneticPr fontId="10"/>
  </si>
  <si>
    <t>最終評価日</t>
    <rPh sb="0" eb="2">
      <t>サイシュウ</t>
    </rPh>
    <rPh sb="2" eb="4">
      <t>ヒョウカ</t>
    </rPh>
    <rPh sb="4" eb="5">
      <t>ビ</t>
    </rPh>
    <phoneticPr fontId="10"/>
  </si>
  <si>
    <t>有効期間
（定められている場合のみ記載）</t>
    <rPh sb="0" eb="2">
      <t>ユウコウ</t>
    </rPh>
    <rPh sb="2" eb="4">
      <t>キカン</t>
    </rPh>
    <rPh sb="6" eb="7">
      <t>サダ</t>
    </rPh>
    <rPh sb="13" eb="15">
      <t>バアイ</t>
    </rPh>
    <rPh sb="17" eb="19">
      <t>キサイ</t>
    </rPh>
    <phoneticPr fontId="10"/>
  </si>
  <si>
    <t>JCI</t>
    <phoneticPr fontId="10"/>
  </si>
  <si>
    <t>平成31年○月○○日</t>
    <rPh sb="0" eb="2">
      <t>ヘイセイ</t>
    </rPh>
    <rPh sb="4" eb="5">
      <t>ネン</t>
    </rPh>
    <rPh sb="5" eb="6">
      <t>ヘイネン</t>
    </rPh>
    <rPh sb="6" eb="7">
      <t>ガツ</t>
    </rPh>
    <rPh sb="9" eb="10">
      <t>ニチ</t>
    </rPh>
    <phoneticPr fontId="10"/>
  </si>
  <si>
    <t>令和７年○月○○日</t>
    <rPh sb="3" eb="4">
      <t>ネン</t>
    </rPh>
    <rPh sb="4" eb="5">
      <t>ヘイネン</t>
    </rPh>
    <rPh sb="5" eb="6">
      <t>ガツ</t>
    </rPh>
    <rPh sb="8" eb="9">
      <t>ニチ</t>
    </rPh>
    <phoneticPr fontId="10"/>
  </si>
  <si>
    <t>ISO9001</t>
    <phoneticPr fontId="10"/>
  </si>
  <si>
    <t>令和２年○月○○日</t>
    <rPh sb="0" eb="2">
      <t>レイワ</t>
    </rPh>
    <rPh sb="3" eb="4">
      <t>ネン</t>
    </rPh>
    <rPh sb="4" eb="5">
      <t>ヘイネン</t>
    </rPh>
    <rPh sb="5" eb="6">
      <t>ガツ</t>
    </rPh>
    <rPh sb="8" eb="9">
      <t>ニチ</t>
    </rPh>
    <phoneticPr fontId="10"/>
  </si>
  <si>
    <t>令和７年○月○○日</t>
    <rPh sb="0" eb="2">
      <t>レイワ</t>
    </rPh>
    <rPh sb="3" eb="4">
      <t>ネン</t>
    </rPh>
    <rPh sb="4" eb="5">
      <t>ヘイネン</t>
    </rPh>
    <rPh sb="5" eb="6">
      <t>ガツ</t>
    </rPh>
    <rPh sb="8" eb="9">
      <t>ニチ</t>
    </rPh>
    <phoneticPr fontId="10"/>
  </si>
  <si>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0"/>
  </si>
  <si>
    <t>平成30年○月○○日</t>
    <rPh sb="0" eb="2">
      <t>ヘイセイ</t>
    </rPh>
    <rPh sb="4" eb="5">
      <t>ネン</t>
    </rPh>
    <rPh sb="5" eb="6">
      <t>ヘイネン</t>
    </rPh>
    <rPh sb="6" eb="7">
      <t>ガツ</t>
    </rPh>
    <rPh sb="9" eb="10">
      <t>ニチ</t>
    </rPh>
    <phoneticPr fontId="10"/>
  </si>
  <si>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</si>
  <si>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10"/>
  </si>
  <si>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</si>
  <si>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</si>
  <si>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</si>
  <si>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</si>
  <si>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</si>
  <si>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8"/>
  </si>
  <si>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</si>
  <si>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10"/>
  </si>
  <si>
    <t>人数</t>
    <rPh sb="0" eb="2">
      <t>ニンズウ</t>
    </rPh>
    <phoneticPr fontId="58"/>
  </si>
  <si>
    <t>診療科の内訳</t>
    <rPh sb="0" eb="3">
      <t>シンリョウカ</t>
    </rPh>
    <rPh sb="4" eb="6">
      <t>ウチワケ</t>
    </rPh>
    <phoneticPr fontId="9"/>
  </si>
  <si>
    <t>身体症状の緩和に携わる医師</t>
    <rPh sb="0" eb="2">
      <t>シンタイ</t>
    </rPh>
    <rPh sb="2" eb="4">
      <t>ショウジョウ</t>
    </rPh>
    <rPh sb="5" eb="7">
      <t>カンワ</t>
    </rPh>
    <rPh sb="8" eb="9">
      <t>タズサ</t>
    </rPh>
    <rPh sb="11" eb="13">
      <t>イシ</t>
    </rPh>
    <phoneticPr fontId="9"/>
  </si>
  <si>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8"/>
  </si>
  <si>
    <t>※都道府県がん診療連携拠点病院は、１名以上配置必須</t>
    <rPh sb="18" eb="19">
      <t>メイ</t>
    </rPh>
    <rPh sb="19" eb="21">
      <t>イジョウ</t>
    </rPh>
    <rPh sb="21" eb="23">
      <t>ハイチ</t>
    </rPh>
    <rPh sb="23" eb="25">
      <t>ヒッス</t>
    </rPh>
    <phoneticPr fontId="10"/>
  </si>
  <si>
    <t>精神症状の緩和に携わる医師</t>
    <rPh sb="0" eb="2">
      <t>セイシン</t>
    </rPh>
    <rPh sb="2" eb="4">
      <t>ショウジョウ</t>
    </rPh>
    <rPh sb="5" eb="7">
      <t>カンワ</t>
    </rPh>
    <rPh sb="8" eb="9">
      <t>タズサ</t>
    </rPh>
    <rPh sb="11" eb="13">
      <t>イシ</t>
    </rPh>
    <phoneticPr fontId="9"/>
  </si>
  <si>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8"/>
  </si>
  <si>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</si>
  <si>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</si>
  <si>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</si>
  <si>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10"/>
  </si>
  <si>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</si>
  <si>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</si>
  <si>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</si>
  <si>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10"/>
  </si>
  <si>
    <t>※都道府県がん診療連携拠点病院は、２名以上配置必須</t>
    <rPh sb="18" eb="19">
      <t>メイ</t>
    </rPh>
    <rPh sb="19" eb="21">
      <t>イジョウ</t>
    </rPh>
    <rPh sb="21" eb="23">
      <t>ハイチ</t>
    </rPh>
    <rPh sb="23" eb="25">
      <t>ヒッス</t>
    </rPh>
    <phoneticPr fontId="10"/>
  </si>
  <si>
    <t>４．薬剤師について</t>
    <rPh sb="2" eb="5">
      <t>ヤクザイシ</t>
    </rPh>
    <phoneticPr fontId="58"/>
  </si>
  <si>
    <t>専門資格
(がん専門薬剤師、がん薬物療法認定薬剤師、緩和薬物療法認定薬剤師等)</t>
    <phoneticPr fontId="10"/>
  </si>
  <si>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</si>
  <si>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10"/>
  </si>
  <si>
    <t>専任の緩和ケアセンターにおける相談支援業務に携わる者</t>
    <phoneticPr fontId="10"/>
  </si>
  <si>
    <t>専任</t>
    <rPh sb="0" eb="2">
      <t>センニン</t>
    </rPh>
    <phoneticPr fontId="10"/>
  </si>
  <si>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10"/>
  </si>
  <si>
    <t>職種</t>
    <rPh sb="0" eb="2">
      <t>ショクシュ</t>
    </rPh>
    <phoneticPr fontId="0"/>
  </si>
  <si>
    <t>専門資格（取得している場合）</t>
    <rPh sb="5" eb="7">
      <t>シュトク</t>
    </rPh>
    <rPh sb="11" eb="13">
      <t>バアイ</t>
    </rPh>
    <phoneticPr fontId="10"/>
  </si>
  <si>
    <t>特定のがん種に対する集学的治療提供体制について</t>
  </si>
  <si>
    <t>記載の有無：入力済／未入力あり／不要</t>
    <phoneticPr fontId="10"/>
  </si>
  <si>
    <t>期間：</t>
    <rPh sb="0" eb="2">
      <t>キカン</t>
    </rPh>
    <phoneticPr fontId="10"/>
  </si>
  <si>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10"/>
  </si>
  <si>
    <t>別添資料の提出有無</t>
    <rPh sb="7" eb="9">
      <t>ウム</t>
    </rPh>
    <phoneticPr fontId="10"/>
  </si>
  <si>
    <t>ファイル形式</t>
    <rPh sb="4" eb="6">
      <t>ケイシキ</t>
    </rPh>
    <phoneticPr fontId="10"/>
  </si>
  <si>
    <t>（ワード／エクセル／パワーポイント／その他）</t>
    <rPh sb="20" eb="21">
      <t>タ</t>
    </rPh>
    <phoneticPr fontId="10"/>
  </si>
  <si>
    <t>その他の場合ファイル形式を記載してください。</t>
    <rPh sb="2" eb="3">
      <t>タ</t>
    </rPh>
    <rPh sb="4" eb="6">
      <t>バアイ</t>
    </rPh>
    <rPh sb="10" eb="12">
      <t>ケイシキ</t>
    </rPh>
    <rPh sb="13" eb="15">
      <t>キサイ</t>
    </rPh>
    <phoneticPr fontId="10"/>
  </si>
  <si>
    <t>特定のがん種</t>
    <rPh sb="0" eb="2">
      <t>トクテイ</t>
    </rPh>
    <rPh sb="5" eb="6">
      <t>シュ</t>
    </rPh>
    <phoneticPr fontId="10"/>
  </si>
  <si>
    <t>年間新入院患者数</t>
    <rPh sb="0" eb="2">
      <t>ネンカン</t>
    </rPh>
    <rPh sb="2" eb="3">
      <t>シン</t>
    </rPh>
    <rPh sb="3" eb="5">
      <t>ニュウイン</t>
    </rPh>
    <rPh sb="5" eb="8">
      <t>カンジャスウ</t>
    </rPh>
    <rPh sb="7" eb="8">
      <t>カズ</t>
    </rPh>
    <phoneticPr fontId="10"/>
  </si>
  <si>
    <t>年間新入院当該がん患者数</t>
    <rPh sb="0" eb="2">
      <t>ネンカン</t>
    </rPh>
    <rPh sb="2" eb="3">
      <t>シン</t>
    </rPh>
    <rPh sb="3" eb="5">
      <t>ニュウイン</t>
    </rPh>
    <rPh sb="5" eb="7">
      <t>トウガイ</t>
    </rPh>
    <rPh sb="9" eb="12">
      <t>カンジャスウ</t>
    </rPh>
    <rPh sb="11" eb="12">
      <t>カズ</t>
    </rPh>
    <phoneticPr fontId="10"/>
  </si>
  <si>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10"/>
  </si>
  <si>
    <t>年間外来当該がん患者のべ数</t>
    <rPh sb="0" eb="2">
      <t>ネンカン</t>
    </rPh>
    <rPh sb="2" eb="4">
      <t>ガイライ</t>
    </rPh>
    <rPh sb="4" eb="6">
      <t>トウガイ</t>
    </rPh>
    <rPh sb="8" eb="10">
      <t>カンジャ</t>
    </rPh>
    <rPh sb="12" eb="13">
      <t>カズ</t>
    </rPh>
    <phoneticPr fontId="10"/>
  </si>
  <si>
    <t>年間院内死亡当該がん患者数</t>
    <rPh sb="0" eb="2">
      <t>ネンカン</t>
    </rPh>
    <rPh sb="2" eb="4">
      <t>インナイ</t>
    </rPh>
    <rPh sb="4" eb="6">
      <t>シボウ</t>
    </rPh>
    <rPh sb="6" eb="8">
      <t>トウガイ</t>
    </rPh>
    <rPh sb="10" eb="12">
      <t>カンジャ</t>
    </rPh>
    <rPh sb="12" eb="13">
      <t>カズ</t>
    </rPh>
    <phoneticPr fontId="10"/>
  </si>
  <si>
    <t>当該がんに係る年間の手術件数</t>
    <rPh sb="0" eb="2">
      <t>トウガイ</t>
    </rPh>
    <rPh sb="5" eb="6">
      <t>カカワ</t>
    </rPh>
    <rPh sb="7" eb="9">
      <t>ネンカン</t>
    </rPh>
    <rPh sb="10" eb="12">
      <t>シュジュツ</t>
    </rPh>
    <rPh sb="12" eb="14">
      <t>ケンスウ</t>
    </rPh>
    <rPh sb="13" eb="14">
      <t>カズ</t>
    </rPh>
    <phoneticPr fontId="10"/>
  </si>
  <si>
    <t>当該がんに対する年間の化学療法件数</t>
    <rPh sb="5" eb="6">
      <t>タイ</t>
    </rPh>
    <rPh sb="11" eb="13">
      <t>カガク</t>
    </rPh>
    <rPh sb="13" eb="15">
      <t>リョウホウ</t>
    </rPh>
    <phoneticPr fontId="10"/>
  </si>
  <si>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10"/>
  </si>
  <si>
    <t>当該がんに係る年間の放射線治療件数</t>
    <rPh sb="5" eb="6">
      <t>カカ</t>
    </rPh>
    <rPh sb="10" eb="13">
      <t>ホウシャセン</t>
    </rPh>
    <rPh sb="13" eb="15">
      <t>チリョウ</t>
    </rPh>
    <rPh sb="15" eb="17">
      <t>ケンスウ</t>
    </rPh>
    <phoneticPr fontId="10"/>
  </si>
  <si>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10"/>
  </si>
  <si>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9"/>
  </si>
  <si>
    <t>記載の有無：入力済／未入力あり／不要</t>
    <rPh sb="0" eb="2">
      <t>キサイ</t>
    </rPh>
    <rPh sb="3" eb="5">
      <t>ウム</t>
    </rPh>
    <rPh sb="6" eb="8">
      <t>ニュウリョク</t>
    </rPh>
    <rPh sb="8" eb="9">
      <t>スミ</t>
    </rPh>
    <rPh sb="10" eb="13">
      <t>ミニュウリョク</t>
    </rPh>
    <rPh sb="16" eb="18">
      <t>フヨウ</t>
    </rPh>
    <phoneticPr fontId="10"/>
  </si>
  <si>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10"/>
  </si>
  <si>
    <t>【緊急な治療が必要な患者や合併症を持ち高度な周術期管理が必要な患者に対するがん診療連携拠点病院等と連携による診療体制】</t>
    <phoneticPr fontId="10"/>
  </si>
  <si>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9"/>
  </si>
  <si>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10"/>
  </si>
  <si>
    <t>※個人名やPHSの番号が記載されていないことをご確認ください。</t>
    <rPh sb="9" eb="11">
      <t>バンゴウ</t>
    </rPh>
    <phoneticPr fontId="10"/>
  </si>
  <si>
    <t>受入／派遣</t>
    <phoneticPr fontId="10"/>
  </si>
  <si>
    <t>期間</t>
    <phoneticPr fontId="10"/>
  </si>
  <si>
    <t>職種</t>
    <rPh sb="0" eb="2">
      <t>ショクシュ</t>
    </rPh>
    <phoneticPr fontId="10"/>
  </si>
  <si>
    <t>（受入元／派遣先）医療機関名</t>
    <phoneticPr fontId="10"/>
  </si>
  <si>
    <t>専門分野</t>
    <phoneticPr fontId="10"/>
  </si>
  <si>
    <t>受入</t>
  </si>
  <si>
    <t>令和５年４月１日～９月30日</t>
  </si>
  <si>
    <t>XX病院</t>
    <rPh sb="2" eb="4">
      <t>ビョウイン</t>
    </rPh>
    <phoneticPr fontId="10"/>
  </si>
  <si>
    <t>がん看護認定看護師</t>
    <rPh sb="2" eb="4">
      <t>カンゴ</t>
    </rPh>
    <rPh sb="4" eb="6">
      <t>ニンテイ</t>
    </rPh>
    <rPh sb="6" eb="9">
      <t>カンゴシ</t>
    </rPh>
    <phoneticPr fontId="10"/>
  </si>
  <si>
    <t>派遣</t>
  </si>
  <si>
    <t>令和５年10月１日～12月31日</t>
  </si>
  <si>
    <t>医師</t>
    <rPh sb="0" eb="2">
      <t>イシ</t>
    </rPh>
    <phoneticPr fontId="10"/>
  </si>
  <si>
    <t>YY病院</t>
    <rPh sb="2" eb="4">
      <t>ビョウイン</t>
    </rPh>
    <phoneticPr fontId="10"/>
  </si>
  <si>
    <t>上部消化器外科</t>
    <rPh sb="0" eb="2">
      <t>ジョウブ</t>
    </rPh>
    <rPh sb="2" eb="5">
      <t>ショウカキ</t>
    </rPh>
    <rPh sb="5" eb="7">
      <t>ゲカ</t>
    </rPh>
    <phoneticPr fontId="10"/>
  </si>
  <si>
    <t>■グループ指定のがん診療連携拠点病院との定期的なカンファレンスの開催実施件数</t>
    <phoneticPr fontId="10"/>
  </si>
  <si>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10"/>
  </si>
  <si>
    <t>時期：</t>
    <rPh sb="0" eb="2">
      <t>ジキ</t>
    </rPh>
    <phoneticPr fontId="10"/>
  </si>
  <si>
    <t>がん医療圏名</t>
    <phoneticPr fontId="10"/>
  </si>
  <si>
    <t>医療機関名</t>
    <phoneticPr fontId="10"/>
  </si>
  <si>
    <t>連携内容（がんの種類と役割分担）</t>
    <phoneticPr fontId="10"/>
  </si>
  <si>
    <t>グループ間の人材交流計画について</t>
    <rPh sb="4" eb="5">
      <t>アイダ</t>
    </rPh>
    <rPh sb="6" eb="8">
      <t>ジンザイ</t>
    </rPh>
    <rPh sb="8" eb="10">
      <t>コウリュウ</t>
    </rPh>
    <rPh sb="10" eb="12">
      <t>ケイカク</t>
    </rPh>
    <phoneticPr fontId="9"/>
  </si>
  <si>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10"/>
  </si>
  <si>
    <t>令和５年４月１日～９月30日</t>
    <phoneticPr fontId="10"/>
  </si>
  <si>
    <t>消化器外科</t>
    <rPh sb="0" eb="3">
      <t>ショウカキ</t>
    </rPh>
    <rPh sb="3" eb="5">
      <t>ゲカ</t>
    </rPh>
    <phoneticPr fontId="10"/>
  </si>
  <si>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10"/>
  </si>
  <si>
    <t>時期・期間：</t>
    <rPh sb="0" eb="2">
      <t>ジキ</t>
    </rPh>
    <phoneticPr fontId="10"/>
  </si>
  <si>
    <t>都道府県協議会の内容</t>
    <rPh sb="0" eb="4">
      <t>トドウフケン</t>
    </rPh>
    <rPh sb="4" eb="7">
      <t>キョウギカイ</t>
    </rPh>
    <rPh sb="8" eb="10">
      <t>ナイヨウ</t>
    </rPh>
    <phoneticPr fontId="10"/>
  </si>
  <si>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10"/>
  </si>
  <si>
    <t>令和５年４月１日～令和６年３月31日</t>
  </si>
  <si>
    <t>●令和５年度に開催した都道府県協議会について記載してください。</t>
  </si>
  <si>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</si>
  <si>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10"/>
  </si>
  <si>
    <t>① 地域の実状に応じて、医療機関間の連携が必要な医療等について、都道府県内の各拠点病院等及び他のがん診療を担う医療機関における役割分担を整理・明確化し、
　　その内容を関係者間で共有するとともに広く周知した。</t>
    <phoneticPr fontId="10"/>
  </si>
  <si>
    <t>都道府県レベルで役割分担すべき項目（※）について議論した。</t>
    <rPh sb="0" eb="4">
      <t>トドウフケン</t>
    </rPh>
    <rPh sb="8" eb="10">
      <t>ヤクワリ</t>
    </rPh>
    <rPh sb="10" eb="12">
      <t>ブンタン</t>
    </rPh>
    <rPh sb="15" eb="17">
      <t>コウモク</t>
    </rPh>
    <rPh sb="24" eb="26">
      <t>ギロン</t>
    </rPh>
    <phoneticPr fontId="10"/>
  </si>
  <si>
    <t>② 地域がん診療病院とがん診療連携拠点病院とのグループ指定の組み合わせを調整・決定した。</t>
    <phoneticPr fontId="10"/>
  </si>
  <si>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</si>
  <si>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</si>
  <si>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10"/>
  </si>
  <si>
    <t>④ 地域における相談支援や緩和ケアの提供体制・連携体制について協議を行い、拠点病院等の間で情報共有や役割分担を含む連携体制を整備した。</t>
    <phoneticPr fontId="10"/>
  </si>
  <si>
    <t>⑤ 当該都道府県における特定機能病院である拠点病院等と連携し、地域におけるがん診療に従事する診療従事者の育成及び適正配置に向けた調整を行った。</t>
    <phoneticPr fontId="10"/>
  </si>
  <si>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10"/>
  </si>
  <si>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10"/>
  </si>
  <si>
    <t>⑧ 国協議会との体系的な連携体制を構築している。</t>
    <phoneticPr fontId="10"/>
  </si>
  <si>
    <t>⑨ 国立がん研究センターによる研修に関する情報や国協議会での協議事項が確実に都道府県内で共有・実践される体制を整備している。</t>
    <phoneticPr fontId="10"/>
  </si>
  <si>
    <t>⑩ 感染症のまん延や災害等の状況においても必要ながん医療を提供する体制を確保するため、当該都道府県や各がん医療圏におけるＢＣＰについて議論を行った。</t>
    <phoneticPr fontId="10"/>
  </si>
  <si>
    <t>⑪ 地域における医療情報の共有の取組について、がんの分野からも検討し、体制整備に取り組んでいる。</t>
    <phoneticPr fontId="10"/>
  </si>
  <si>
    <t>【参考】</t>
    <rPh sb="1" eb="3">
      <t>サンコウ</t>
    </rPh>
    <phoneticPr fontId="10"/>
  </si>
  <si>
    <t>●令和５年４月１日～令和６年３月31日に開催した都道府県協議会の参加者について</t>
  </si>
  <si>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10"/>
  </si>
  <si>
    <t>　都道府県庁等の行政の参加があった</t>
    <rPh sb="1" eb="5">
      <t>トドウフケン</t>
    </rPh>
    <rPh sb="4" eb="6">
      <t>ケンチョウ</t>
    </rPh>
    <rPh sb="6" eb="7">
      <t>ナド</t>
    </rPh>
    <rPh sb="8" eb="10">
      <t>ギョウセイ</t>
    </rPh>
    <rPh sb="11" eb="13">
      <t>サンカ</t>
    </rPh>
    <phoneticPr fontId="10"/>
  </si>
  <si>
    <t>　拠点病院等以外の地域のがん診療を行う者の参加があった</t>
    <rPh sb="9" eb="11">
      <t>チイキ</t>
    </rPh>
    <rPh sb="14" eb="16">
      <t>シンリョウ</t>
    </rPh>
    <rPh sb="17" eb="18">
      <t>オコナ</t>
    </rPh>
    <rPh sb="19" eb="20">
      <t>モノ</t>
    </rPh>
    <rPh sb="21" eb="23">
      <t>サンカ</t>
    </rPh>
    <phoneticPr fontId="10"/>
  </si>
  <si>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10"/>
  </si>
  <si>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10"/>
  </si>
  <si>
    <t>●都道府県協議会の広報体制について</t>
    <rPh sb="1" eb="5">
      <t>トドウフケン</t>
    </rPh>
    <rPh sb="5" eb="8">
      <t>キョウギカイ</t>
    </rPh>
    <rPh sb="9" eb="11">
      <t>コウホウ</t>
    </rPh>
    <rPh sb="11" eb="13">
      <t>タイセイ</t>
    </rPh>
    <phoneticPr fontId="10"/>
  </si>
  <si>
    <t>　都道府県協議会についてわかりやすく広報を行うためのWebサイトがある。</t>
    <rPh sb="1" eb="5">
      <t>トドウフケン</t>
    </rPh>
    <rPh sb="5" eb="8">
      <t>キョウギカイ</t>
    </rPh>
    <rPh sb="18" eb="20">
      <t>コウホウ</t>
    </rPh>
    <rPh sb="21" eb="22">
      <t>オコナ</t>
    </rPh>
    <phoneticPr fontId="10"/>
  </si>
  <si>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10"/>
  </si>
  <si>
    <t>　WebサイトのURL</t>
    <phoneticPr fontId="10"/>
  </si>
  <si>
    <t>●令和５年４月１日～令和６年３月31日に開催した都道府県協議会での議論の内容について</t>
  </si>
  <si>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10"/>
  </si>
  <si>
    <t>（※）都道府県レベルで役割分担すべき項目は以下である。</t>
    <rPh sb="3" eb="7">
      <t>トドウフケン</t>
    </rPh>
    <rPh sb="11" eb="13">
      <t>ヤクワリ</t>
    </rPh>
    <rPh sb="13" eb="15">
      <t>ブンタン</t>
    </rPh>
    <rPh sb="18" eb="20">
      <t>コウモク</t>
    </rPh>
    <rPh sb="21" eb="23">
      <t>イカ</t>
    </rPh>
    <phoneticPr fontId="10"/>
  </si>
  <si>
    <t>●以下の例のうち、都道府県協議会での議論の有無について</t>
    <rPh sb="1" eb="3">
      <t>イカ</t>
    </rPh>
    <phoneticPr fontId="10"/>
  </si>
  <si>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</si>
  <si>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</si>
  <si>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</si>
  <si>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</si>
  <si>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</si>
  <si>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</si>
  <si>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10"/>
  </si>
  <si>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</si>
  <si>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</si>
  <si>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</si>
  <si>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10"/>
  </si>
  <si>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0"/>
  </si>
  <si>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0"/>
  </si>
  <si>
    <t>１．院内の口腔ケアチームのメンバーの職種及び人数について</t>
    <rPh sb="2" eb="4">
      <t>インナイ</t>
    </rPh>
    <rPh sb="5" eb="7">
      <t>コウクウ</t>
    </rPh>
    <rPh sb="18" eb="20">
      <t>ショクシュ</t>
    </rPh>
    <rPh sb="20" eb="21">
      <t>オヨ</t>
    </rPh>
    <rPh sb="22" eb="24">
      <t>ニンズウ</t>
    </rPh>
    <phoneticPr fontId="10"/>
  </si>
  <si>
    <t>院内に口腔ケアチームを設置している場合、記入すること。</t>
    <phoneticPr fontId="10"/>
  </si>
  <si>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0"/>
  </si>
  <si>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9"/>
  </si>
  <si>
    <t>歯科医師</t>
    <rPh sb="0" eb="4">
      <t>シカイシ</t>
    </rPh>
    <phoneticPr fontId="10"/>
  </si>
  <si>
    <t>近隣の歯科医師と個別に連携</t>
    <phoneticPr fontId="10"/>
  </si>
  <si>
    <t>２．歯科との連携体制の有無について</t>
    <rPh sb="2" eb="4">
      <t>シカ</t>
    </rPh>
    <rPh sb="6" eb="8">
      <t>レンケイ</t>
    </rPh>
    <rPh sb="8" eb="10">
      <t>タイセイ</t>
    </rPh>
    <rPh sb="11" eb="13">
      <t>ウム</t>
    </rPh>
    <phoneticPr fontId="10"/>
  </si>
  <si>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0"/>
  </si>
  <si>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0"/>
  </si>
  <si>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0"/>
  </si>
  <si>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0"/>
  </si>
  <si>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0"/>
  </si>
  <si>
    <t>（６）　上記（２）～（５）において地域の歯科医師と連携体制を構築している場合、連携している地域（院外）の歯科医療機関数</t>
    <rPh sb="17" eb="19">
      <t>チイキ</t>
    </rPh>
    <rPh sb="22" eb="24">
      <t>イシ</t>
    </rPh>
    <rPh sb="45" eb="47">
      <t>チイキ</t>
    </rPh>
    <phoneticPr fontId="10"/>
  </si>
  <si>
    <t>施設</t>
    <rPh sb="0" eb="2">
      <t>シセツ</t>
    </rPh>
    <phoneticPr fontId="10"/>
  </si>
  <si>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0"/>
  </si>
  <si>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0"/>
  </si>
  <si>
    <t>市立豊中病院</t>
    <rPh sb="0" eb="2">
      <t>シリツ</t>
    </rPh>
    <rPh sb="2" eb="4">
      <t>トヨナカ</t>
    </rPh>
    <rPh sb="4" eb="6">
      <t>ビョウイン</t>
    </rPh>
    <phoneticPr fontId="10"/>
  </si>
  <si>
    <t>地域がん診療連携拠点病院</t>
  </si>
  <si>
    <t>承認なし</t>
  </si>
  <si>
    <t>しりつとよなかびょういん</t>
    <phoneticPr fontId="10" type="Hiragana"/>
  </si>
  <si>
    <t>560-8565</t>
    <phoneticPr fontId="10" type="Hiragana"/>
  </si>
  <si>
    <t>大阪府</t>
  </si>
  <si>
    <t>豊中市柴原町4-14-1</t>
    <rPh sb="0" eb="3">
      <t>とよなかし</t>
    </rPh>
    <rPh sb="3" eb="6">
      <t>しばはらちょう</t>
    </rPh>
    <phoneticPr fontId="10" type="Hiragana"/>
  </si>
  <si>
    <t>とよなかししばはらちょう4-14-1</t>
    <phoneticPr fontId="10" type="Hiragana"/>
  </si>
  <si>
    <t>06-6843-0101</t>
    <phoneticPr fontId="10" type="Hiragana"/>
  </si>
  <si>
    <t>06-6858-3531</t>
    <phoneticPr fontId="10" type="Hiragana"/>
  </si>
  <si>
    <t>hsoumu@city.toyonaka.osaka.jp</t>
    <phoneticPr fontId="10" type="Hiragana"/>
  </si>
  <si>
    <t>https://www.city.toyonaka.osaka.jp/hp/</t>
    <phoneticPr fontId="10" type="Hiragana"/>
  </si>
  <si>
    <t>豊能医療圏</t>
    <rPh sb="0" eb="2">
      <t>とよの</t>
    </rPh>
    <rPh sb="2" eb="4">
      <t>いりょう</t>
    </rPh>
    <rPh sb="4" eb="5">
      <t>けん</t>
    </rPh>
    <phoneticPr fontId="10" type="Hiragana"/>
  </si>
  <si>
    <t>豊能二次医療圏</t>
    <rPh sb="0" eb="2">
      <t>とよの</t>
    </rPh>
    <rPh sb="2" eb="4">
      <t>にじ</t>
    </rPh>
    <rPh sb="4" eb="6">
      <t>いりょう</t>
    </rPh>
    <rPh sb="6" eb="7">
      <t>けん</t>
    </rPh>
    <phoneticPr fontId="10" type="Hiragana"/>
  </si>
  <si>
    <t>可</t>
  </si>
  <si>
    <t>あり</t>
  </si>
  <si>
    <t>いいえ</t>
  </si>
  <si>
    <t>指定なし</t>
    <rPh sb="0" eb="2">
      <t>してい</t>
    </rPh>
    <phoneticPr fontId="10" type="Hiragana"/>
  </si>
  <si>
    <t>はい</t>
  </si>
  <si>
    <t>なし</t>
    <phoneticPr fontId="10"/>
  </si>
  <si>
    <t>医用原子力技術研究振興財団</t>
    <rPh sb="0" eb="2">
      <t>イヨウ</t>
    </rPh>
    <rPh sb="2" eb="5">
      <t>ゲンシリョク</t>
    </rPh>
    <rPh sb="5" eb="7">
      <t>ギジュツ</t>
    </rPh>
    <rPh sb="7" eb="9">
      <t>ケンキュウ</t>
    </rPh>
    <rPh sb="9" eb="11">
      <t>シンコウ</t>
    </rPh>
    <rPh sb="11" eb="13">
      <t>ザイダン</t>
    </rPh>
    <phoneticPr fontId="10"/>
  </si>
  <si>
    <t>令和5年9月29日第3回市立豊中病院がんゲノム医療セミナー</t>
    <rPh sb="0" eb="2">
      <t>レイワ</t>
    </rPh>
    <rPh sb="3" eb="4">
      <t>ネン</t>
    </rPh>
    <rPh sb="5" eb="6">
      <t>ガツ</t>
    </rPh>
    <rPh sb="8" eb="9">
      <t>ニチ</t>
    </rPh>
    <rPh sb="9" eb="10">
      <t>ダイ</t>
    </rPh>
    <rPh sb="11" eb="12">
      <t>カイ</t>
    </rPh>
    <rPh sb="12" eb="14">
      <t>シリツ</t>
    </rPh>
    <rPh sb="14" eb="16">
      <t>トヨナカ</t>
    </rPh>
    <rPh sb="16" eb="18">
      <t>ビョウイン</t>
    </rPh>
    <rPh sb="23" eb="25">
      <t>イリョウ</t>
    </rPh>
    <phoneticPr fontId="10"/>
  </si>
  <si>
    <t>1/30　がんキャリア研修　「患者の療養を支える看護」</t>
    <phoneticPr fontId="10"/>
  </si>
  <si>
    <t>日本医療機能評価機構 病院機能評価</t>
  </si>
  <si>
    <t>◎</t>
  </si>
  <si>
    <t>△</t>
  </si>
  <si>
    <t>無</t>
  </si>
  <si>
    <t>無</t>
    <rPh sb="0" eb="1">
      <t>ム</t>
    </rPh>
    <phoneticPr fontId="75"/>
  </si>
  <si>
    <t>有</t>
  </si>
  <si>
    <t>脳神経外科</t>
    <rPh sb="0" eb="3">
      <t>ノウシンケイ</t>
    </rPh>
    <rPh sb="3" eb="5">
      <t>ゲカ</t>
    </rPh>
    <phoneticPr fontId="75"/>
  </si>
  <si>
    <t>脳神経外科、血液内科</t>
    <rPh sb="0" eb="3">
      <t>ノウシンケイ</t>
    </rPh>
    <rPh sb="3" eb="5">
      <t>ゲカ</t>
    </rPh>
    <rPh sb="6" eb="8">
      <t>ケツエキ</t>
    </rPh>
    <rPh sb="8" eb="10">
      <t>ナイカ</t>
    </rPh>
    <phoneticPr fontId="75"/>
  </si>
  <si>
    <t>眼科</t>
    <rPh sb="0" eb="2">
      <t>ガンカ</t>
    </rPh>
    <phoneticPr fontId="75"/>
  </si>
  <si>
    <t>耳鼻咽喉科</t>
    <rPh sb="0" eb="2">
      <t>ジビ</t>
    </rPh>
    <rPh sb="2" eb="4">
      <t>インコウ</t>
    </rPh>
    <rPh sb="4" eb="5">
      <t>カ</t>
    </rPh>
    <phoneticPr fontId="75"/>
  </si>
  <si>
    <t>歯科口腔外科、耳鼻咽喉科</t>
    <rPh sb="0" eb="2">
      <t>シカ</t>
    </rPh>
    <rPh sb="2" eb="4">
      <t>コウクウ</t>
    </rPh>
    <rPh sb="4" eb="6">
      <t>ゲカ</t>
    </rPh>
    <rPh sb="7" eb="9">
      <t>ジビ</t>
    </rPh>
    <rPh sb="9" eb="11">
      <t>インコウ</t>
    </rPh>
    <rPh sb="11" eb="12">
      <t>カ</t>
    </rPh>
    <phoneticPr fontId="75"/>
  </si>
  <si>
    <t>耳下腺を除く唾液腺がん</t>
    <phoneticPr fontId="75"/>
  </si>
  <si>
    <t>耳鼻咽喉科、乳腺外科</t>
    <rPh sb="0" eb="2">
      <t>ジビ</t>
    </rPh>
    <rPh sb="2" eb="4">
      <t>インコウ</t>
    </rPh>
    <rPh sb="4" eb="5">
      <t>カ</t>
    </rPh>
    <rPh sb="6" eb="8">
      <t>ニュウセン</t>
    </rPh>
    <rPh sb="8" eb="10">
      <t>ゲカ</t>
    </rPh>
    <phoneticPr fontId="75"/>
  </si>
  <si>
    <t>乳腺外科</t>
    <rPh sb="0" eb="2">
      <t>ニュウセン</t>
    </rPh>
    <rPh sb="2" eb="4">
      <t>ゲカ</t>
    </rPh>
    <phoneticPr fontId="75"/>
  </si>
  <si>
    <t>呼吸器外科、呼吸器内科</t>
    <rPh sb="0" eb="3">
      <t>コキュウキ</t>
    </rPh>
    <rPh sb="3" eb="5">
      <t>ゲカ</t>
    </rPh>
    <rPh sb="6" eb="9">
      <t>コキュウキ</t>
    </rPh>
    <rPh sb="9" eb="11">
      <t>ナイカ</t>
    </rPh>
    <phoneticPr fontId="75"/>
  </si>
  <si>
    <t>消化器内科</t>
    <rPh sb="0" eb="3">
      <t>ショウカキ</t>
    </rPh>
    <rPh sb="3" eb="5">
      <t>ナイカ</t>
    </rPh>
    <phoneticPr fontId="75"/>
  </si>
  <si>
    <t>消化器センター</t>
    <rPh sb="0" eb="3">
      <t>ショウカキ</t>
    </rPh>
    <phoneticPr fontId="75"/>
  </si>
  <si>
    <t>消化器外科</t>
    <rPh sb="0" eb="3">
      <t>ショウカキ</t>
    </rPh>
    <rPh sb="3" eb="5">
      <t>ゲカ</t>
    </rPh>
    <phoneticPr fontId="75"/>
  </si>
  <si>
    <t>消化器外科、消化器内科</t>
    <rPh sb="0" eb="3">
      <t>ショウカキ</t>
    </rPh>
    <rPh sb="3" eb="5">
      <t>ゲカ</t>
    </rPh>
    <rPh sb="6" eb="9">
      <t>ショウカキ</t>
    </rPh>
    <rPh sb="9" eb="11">
      <t>ナイカ</t>
    </rPh>
    <phoneticPr fontId="75"/>
  </si>
  <si>
    <t>整形外科</t>
    <rPh sb="0" eb="2">
      <t>セイケイ</t>
    </rPh>
    <rPh sb="2" eb="4">
      <t>ゲカ</t>
    </rPh>
    <phoneticPr fontId="75"/>
  </si>
  <si>
    <t>泌尿器科</t>
    <rPh sb="0" eb="4">
      <t>ヒニョウキカ</t>
    </rPh>
    <phoneticPr fontId="75"/>
  </si>
  <si>
    <t>産婦人科</t>
    <rPh sb="0" eb="4">
      <t>サンフジンカ</t>
    </rPh>
    <phoneticPr fontId="75"/>
  </si>
  <si>
    <t>産婦人科、皮膚科、形成外科</t>
    <rPh sb="0" eb="4">
      <t>サンフジンカ</t>
    </rPh>
    <rPh sb="5" eb="8">
      <t>ヒフカ</t>
    </rPh>
    <rPh sb="9" eb="11">
      <t>ケイセイ</t>
    </rPh>
    <rPh sb="11" eb="13">
      <t>ゲカ</t>
    </rPh>
    <phoneticPr fontId="75"/>
  </si>
  <si>
    <t>皮膚科、整形外科</t>
    <rPh sb="0" eb="3">
      <t>ヒフカ</t>
    </rPh>
    <rPh sb="4" eb="6">
      <t>セイケイ</t>
    </rPh>
    <rPh sb="6" eb="8">
      <t>ゲカ</t>
    </rPh>
    <phoneticPr fontId="75"/>
  </si>
  <si>
    <t>皮膚科、形成外科</t>
    <rPh sb="0" eb="3">
      <t>ヒフカ</t>
    </rPh>
    <rPh sb="4" eb="6">
      <t>ケイセイ</t>
    </rPh>
    <rPh sb="6" eb="8">
      <t>ゲカ</t>
    </rPh>
    <phoneticPr fontId="75"/>
  </si>
  <si>
    <t>血液内科</t>
    <rPh sb="0" eb="2">
      <t>ケツエキ</t>
    </rPh>
    <rPh sb="2" eb="4">
      <t>ナイカ</t>
    </rPh>
    <phoneticPr fontId="75"/>
  </si>
  <si>
    <t>自家末梢血幹細胞移植</t>
    <rPh sb="0" eb="2">
      <t>ジカ</t>
    </rPh>
    <rPh sb="2" eb="4">
      <t>マッショウ</t>
    </rPh>
    <rPh sb="4" eb="5">
      <t>ケツ</t>
    </rPh>
    <rPh sb="5" eb="8">
      <t>カンサイボウ</t>
    </rPh>
    <rPh sb="8" eb="10">
      <t>イショク</t>
    </rPh>
    <phoneticPr fontId="75"/>
  </si>
  <si>
    <t>各担当診療科</t>
    <rPh sb="0" eb="1">
      <t>カク</t>
    </rPh>
    <rPh sb="1" eb="3">
      <t>タントウ</t>
    </rPh>
    <rPh sb="3" eb="6">
      <t>シンリョウカ</t>
    </rPh>
    <phoneticPr fontId="75"/>
  </si>
  <si>
    <t>小児科、脳神経外科</t>
    <rPh sb="0" eb="3">
      <t>ショウニカ</t>
    </rPh>
    <rPh sb="4" eb="7">
      <t>ノウシンケイ</t>
    </rPh>
    <rPh sb="7" eb="9">
      <t>ゲカ</t>
    </rPh>
    <phoneticPr fontId="75"/>
  </si>
  <si>
    <t>小児科</t>
    <rPh sb="0" eb="3">
      <t>ショウニカ</t>
    </rPh>
    <phoneticPr fontId="75"/>
  </si>
  <si>
    <t>一般的な呼吸器外科医の不在につき、手術を要する肺がん患者は、連携する大阪大学医学部附属病院、または・大阪刀根山医療センターに紹介している。薬物療法、放射線療法については自施設で実施している。</t>
    <rPh sb="0" eb="3">
      <t>イッパンテキ</t>
    </rPh>
    <rPh sb="4" eb="7">
      <t>コキュウキ</t>
    </rPh>
    <rPh sb="7" eb="10">
      <t>ゲカイ</t>
    </rPh>
    <rPh sb="11" eb="13">
      <t>フザイ</t>
    </rPh>
    <rPh sb="17" eb="19">
      <t>シュジュツ</t>
    </rPh>
    <rPh sb="20" eb="21">
      <t>ヨウ</t>
    </rPh>
    <rPh sb="23" eb="24">
      <t>ハイ</t>
    </rPh>
    <rPh sb="26" eb="28">
      <t>カンジャ</t>
    </rPh>
    <rPh sb="30" eb="32">
      <t>レンケイ</t>
    </rPh>
    <rPh sb="34" eb="36">
      <t>オオサカ</t>
    </rPh>
    <rPh sb="36" eb="38">
      <t>ダイガク</t>
    </rPh>
    <rPh sb="38" eb="40">
      <t>イガク</t>
    </rPh>
    <rPh sb="40" eb="41">
      <t>ブ</t>
    </rPh>
    <rPh sb="41" eb="43">
      <t>フゾク</t>
    </rPh>
    <rPh sb="43" eb="45">
      <t>ビョウイン</t>
    </rPh>
    <rPh sb="50" eb="52">
      <t>オオサカ</t>
    </rPh>
    <rPh sb="52" eb="55">
      <t>トネヤマ</t>
    </rPh>
    <rPh sb="55" eb="57">
      <t>イリョウ</t>
    </rPh>
    <rPh sb="62" eb="64">
      <t>ショウカイ</t>
    </rPh>
    <rPh sb="69" eb="71">
      <t>ヤクブツ</t>
    </rPh>
    <rPh sb="71" eb="73">
      <t>リョウホウ</t>
    </rPh>
    <rPh sb="74" eb="77">
      <t>ホウシャセン</t>
    </rPh>
    <rPh sb="77" eb="79">
      <t>リョウホウ</t>
    </rPh>
    <rPh sb="84" eb="85">
      <t>ジ</t>
    </rPh>
    <rPh sb="85" eb="87">
      <t>シセツ</t>
    </rPh>
    <rPh sb="88" eb="90">
      <t>ジッシ</t>
    </rPh>
    <phoneticPr fontId="10"/>
  </si>
  <si>
    <t>標準診療を終えた患者に対して、がんゲノム医療を受診していただくために、専門の医師や看護師、薬剤師等が参集して、検査実施の適応を判断する際、症例検討以外に、患者の社会的な問題についても幅広く意見交換や情報共有を行っている。</t>
    <phoneticPr fontId="10"/>
  </si>
  <si>
    <t>緩和ケア外来</t>
    <rPh sb="0" eb="2">
      <t>カンワ</t>
    </rPh>
    <rPh sb="4" eb="6">
      <t>ガイライ</t>
    </rPh>
    <phoneticPr fontId="10"/>
  </si>
  <si>
    <t>麻酔科</t>
    <rPh sb="0" eb="3">
      <t>マスイカ</t>
    </rPh>
    <phoneticPr fontId="10"/>
  </si>
  <si>
    <t>5回／週</t>
    <rPh sb="1" eb="2">
      <t>カイ</t>
    </rPh>
    <rPh sb="3" eb="4">
      <t>シュウ</t>
    </rPh>
    <phoneticPr fontId="10"/>
  </si>
  <si>
    <t>疼痛緩和・症状緩和・心理面の支援・療養に関する支援を行っている。また、必要時は公認心理師の介入も実施している。</t>
    <phoneticPr fontId="10"/>
  </si>
  <si>
    <t>診療科案内　緩和ケア外来</t>
    <phoneticPr fontId="10"/>
  </si>
  <si>
    <t>https://www.city.toyonaka.osaka.jp/hp/info/gairai/tokusyu/kanwa.html</t>
    <phoneticPr fontId="10"/>
  </si>
  <si>
    <t>06-6843-0101</t>
    <phoneticPr fontId="10"/>
  </si>
  <si>
    <t>地域医療連携室</t>
    <rPh sb="0" eb="2">
      <t>チイキ</t>
    </rPh>
    <rPh sb="2" eb="4">
      <t>イリョウ</t>
    </rPh>
    <rPh sb="4" eb="6">
      <t>レンケイ</t>
    </rPh>
    <rPh sb="6" eb="7">
      <t>シツ</t>
    </rPh>
    <phoneticPr fontId="10"/>
  </si>
  <si>
    <t>病棟がありません</t>
  </si>
  <si>
    <t>緩和薬物療法認定薬剤師・糖尿病指導療法士・小児薬物療法認定薬剤師</t>
    <phoneticPr fontId="10"/>
  </si>
  <si>
    <t>麻薬教育認定薬剤師・緩和薬物療法認定薬剤師</t>
    <phoneticPr fontId="10"/>
  </si>
  <si>
    <t>非常勤</t>
  </si>
  <si>
    <t>緩和薬物療法認定薬剤師</t>
    <phoneticPr fontId="10"/>
  </si>
  <si>
    <t>相談支援に携わる者</t>
    <rPh sb="0" eb="2">
      <t>ソウダン</t>
    </rPh>
    <rPh sb="2" eb="4">
      <t>シエン</t>
    </rPh>
    <rPh sb="5" eb="6">
      <t>タズサ</t>
    </rPh>
    <rPh sb="8" eb="9">
      <t>モノ</t>
    </rPh>
    <phoneticPr fontId="10"/>
  </si>
  <si>
    <t>社会福祉士・国立がん研究センター認定がん専門相談員</t>
    <phoneticPr fontId="10"/>
  </si>
  <si>
    <t>看護師・国立がん研究センター認定がん専門相談員</t>
    <phoneticPr fontId="10"/>
  </si>
  <si>
    <t>管理栄養士</t>
    <rPh sb="0" eb="2">
      <t>カンリ</t>
    </rPh>
    <rPh sb="2" eb="5">
      <t>エイヨウシ</t>
    </rPh>
    <phoneticPr fontId="10"/>
  </si>
  <si>
    <t>がん病態栄養専門管理栄養士、病態栄養専門管理栄養士、NST専門療法士、
糖尿病療養指導士</t>
    <phoneticPr fontId="10"/>
  </si>
  <si>
    <t>作業療法士</t>
    <rPh sb="0" eb="2">
      <t>サギョウ</t>
    </rPh>
    <rPh sb="2" eb="5">
      <t>リョウホウシ</t>
    </rPh>
    <phoneticPr fontId="10"/>
  </si>
  <si>
    <t>放射線技師</t>
    <rPh sb="0" eb="3">
      <t>ホウシャセン</t>
    </rPh>
    <rPh sb="3" eb="5">
      <t>ギシ</t>
    </rPh>
    <phoneticPr fontId="10"/>
  </si>
  <si>
    <t>放射線治療専門放射線技師、放射線治療品質管理士</t>
    <phoneticPr fontId="10"/>
  </si>
  <si>
    <t>緩和ケア認定看護師</t>
    <phoneticPr fontId="10"/>
  </si>
  <si>
    <t>心理士</t>
    <rPh sb="0" eb="3">
      <t>シンリシ</t>
    </rPh>
    <phoneticPr fontId="10"/>
  </si>
  <si>
    <t>臨床心理士・公認心理師</t>
    <rPh sb="10" eb="11">
      <t>シ</t>
    </rPh>
    <phoneticPr fontId="10"/>
  </si>
  <si>
    <t>回／週</t>
  </si>
  <si>
    <t>がん患者に対して定期的に、また診断時、治療開始、治療法変更などの転換期に適宜がんスクリーニングシートを用いてスクリーニングを実施し、支援を必要とする患者の把握を行い、専門的チームや部署につなぐシステムを構築している。もれなくスクリーニングができるように、緩和ケアチームリンクナースへの教育を行っている。
緩和ケアチームの病棟ラウンド時にリンクナース等に声をかけ、緩和ケアチーム依頼を受けていないがん患者の情報把握やケアの助言を行い、主治医や看護師からの電話相談にも対応している。</t>
    <phoneticPr fontId="10"/>
  </si>
  <si>
    <t>緩和ケアチームリンクナース会を毎月開催しており、緩和ケアチームの医師、認定看護師やMSW等による学習会等行い、患者の苦痛の早期対応ができるよう、教育を行っている。
緩和ケアチームラウンド時には、リンクナースや担当看護師を中心に情報共有を行い、患者の状況の把握や症状緩和への指導を行っている。また、緩和
ケアチーム看護師が中心となり、院内の全看護師対象に、がん看護に関するeラーニングや集合研修を企画し、参加を促すことで専門的緩和ケアの知識の普及を行っている。</t>
    <phoneticPr fontId="10"/>
  </si>
  <si>
    <t>AYA世代がん患者の捕捉情報をがん相談支援センターで一元管理し、捕捉後はMSWや看護師が速やかに患者にアプローチして身体的・心理的・社会的側面から課題の有無や支援の要否をアセスメントしている。
アセスメント内容をもとにAYAチームでカンファレンスを実施し、妊孕性温存に対しては大阪がん生殖医療ネットワーク加入医療機関へ紹介、家族関係や就労の悩みに対してはがん相談支援センターが中心となって支援し必要に応じてハローワークと連携するなどしている。</t>
    <phoneticPr fontId="10"/>
  </si>
  <si>
    <t>医師（内科、乳腺外科、産婦人科、泌尿器科）、看護師（がん看護専門看護師、緩和ケア認定看護師、乳がん看護認定看護師、
がん性疼痛看護認定看護師）、MSW、臨床心理士・公認心理師</t>
    <phoneticPr fontId="10"/>
  </si>
  <si>
    <t>AYA包括ケア体制構築班によるAYA支援チーム養成プログラムにチームで参加した。また、日本がん・生殖医療学会「暫定がん・生殖医療ナビゲーター」
資格取得者を配置済みであり、同学会の「認定がん・生殖医療ナビゲーター」資格取得のために、支援を行っている。加えて、AYA支援チームで作成した
妊孕性温存に関する啓発動画を全職員向けEラーニングで配信し、がん治療と生殖医療に関する意思決定支援に対応できるよう取り組んでいる。</t>
    <phoneticPr fontId="10"/>
  </si>
  <si>
    <t>妊孕性温存療法の対象となる患者にはがん治療前に問診票を配布し、挙児に対する思いを確認している。その後の意思決定において倫理的・社会的観点からも高度な検討を要する場合は、産婦人科・泌尿器科医によるカウンセリングを実施している。
妊孕性温存専門医によるカウンセリングが必要な場合は、大阪がん生殖医療ネットワーク加入の医療機関に紹介している。</t>
    <phoneticPr fontId="10"/>
  </si>
  <si>
    <t>主にAYA世代の就学継続について、AYA支援チームやがん相談支援センターで卒業後の就職も考慮しながらがん治療との両立方法を検討し、
患者と学校との関係を側面的に支援している。</t>
    <phoneticPr fontId="10"/>
  </si>
  <si>
    <t>新規就職、再就職をはじめ治療と仕事の両立や復職に関する相談に、病状や治療状況踏まえてニーズを確認し、
大阪府社会保険労務士会ホットライン事業やハローワーク池田出張相談会、豊中市くらし支援課と連携しながら対応している。</t>
    <phoneticPr fontId="10"/>
  </si>
  <si>
    <t>がん相談支援センターで各メーカーのウィッグやケア帽子のサンプル、およびパンフレットを揃えて対応している。
患者のライフスタイルやがん治療による心理・社会的負担も考慮しながら、ケア用品の材質や費用をはじめ脱毛ケアやスキンケア方法についても情報提供している。</t>
    <phoneticPr fontId="10"/>
  </si>
  <si>
    <t>全入院患者に対して、看護師が入院時にせん妄リスク因子評価を実施。ハイリスク患者に対してはせん妄予防ケアを開始。
がん治療過程において、せん妄、認知症、うつその他の精神疾患の治療の必要性、意思決定支援、倫理課題が生じた場合は、必要に応じて認知症ケアせん妄予防チーム（精神科リエゾンチーム）や、症状に応じて緩和ケアチームへ院内紹介し多職種で協議・対応している。</t>
    <phoneticPr fontId="10"/>
  </si>
  <si>
    <t>施設での看護</t>
    <rPh sb="0" eb="2">
      <t>シセツ</t>
    </rPh>
    <rPh sb="4" eb="6">
      <t>カンゴ</t>
    </rPh>
    <phoneticPr fontId="10"/>
  </si>
  <si>
    <t>生活態度</t>
    <rPh sb="0" eb="2">
      <t>セイカツ</t>
    </rPh>
    <rPh sb="2" eb="4">
      <t>タイド</t>
    </rPh>
    <phoneticPr fontId="10"/>
  </si>
  <si>
    <t>その他</t>
    <rPh sb="2" eb="3">
      <t>タ</t>
    </rPh>
    <phoneticPr fontId="10"/>
  </si>
  <si>
    <t>がん相談支援センター</t>
    <rPh sb="2" eb="4">
      <t>ソウダン</t>
    </rPh>
    <rPh sb="4" eb="6">
      <t>シエン</t>
    </rPh>
    <phoneticPr fontId="10"/>
  </si>
  <si>
    <t>3125</t>
    <phoneticPr fontId="10"/>
  </si>
  <si>
    <t>https://www.city.toyonaka.osaka.jp/hp/outpatient/section/soudan/index.html</t>
    <phoneticPr fontId="10"/>
  </si>
  <si>
    <t>実施</t>
  </si>
  <si>
    <t>必要</t>
  </si>
  <si>
    <t>06-6858-3513</t>
    <phoneticPr fontId="10"/>
  </si>
  <si>
    <t>gan-shien@chp.toyonaka.osaka.jp</t>
    <phoneticPr fontId="10"/>
  </si>
  <si>
    <t>がん相談支援センター相談員指導者研修　指導者スキルアップ研修等</t>
    <rPh sb="2" eb="4">
      <t>ソウダン</t>
    </rPh>
    <rPh sb="4" eb="6">
      <t>シエン</t>
    </rPh>
    <rPh sb="10" eb="13">
      <t>ソウダンイン</t>
    </rPh>
    <rPh sb="13" eb="16">
      <t>シドウシャ</t>
    </rPh>
    <rPh sb="16" eb="18">
      <t>ケンシュウ</t>
    </rPh>
    <rPh sb="19" eb="22">
      <t>シドウシャ</t>
    </rPh>
    <rPh sb="28" eb="30">
      <t>ケンシュウ</t>
    </rPh>
    <rPh sb="30" eb="31">
      <t>トウ</t>
    </rPh>
    <phoneticPr fontId="10"/>
  </si>
  <si>
    <t>院内待合場所にがん相談支援センターのチラシの配架している。また各診療科に配置しているテレビモニターに案内動画を流し、がん相談支援センターで相談できる内容や設置場所の周知を図っている。
入院案内にもチラシを挟み込み、全入院患者に向けてセンターを案内している。
がん関連の認定看護師が診察同席時にがん相談を案内している。</t>
    <phoneticPr fontId="10"/>
  </si>
  <si>
    <t>がん相談支援センターでは期間を定め、相談に来られた方を対象に満足度や相談に対する意見を尋ねるアンケートを実施している。
結果を集計分析し、相談対応の質を評価するとともに、よりよい対応に向けた改善策に取り組んでいる。</t>
    <phoneticPr fontId="10"/>
  </si>
  <si>
    <t>公共職業安定所職員</t>
    <rPh sb="0" eb="2">
      <t>コウキョウ</t>
    </rPh>
    <rPh sb="2" eb="4">
      <t>ショクギョウ</t>
    </rPh>
    <rPh sb="4" eb="6">
      <t>アンテイ</t>
    </rPh>
    <rPh sb="6" eb="7">
      <t>ショ</t>
    </rPh>
    <rPh sb="7" eb="9">
      <t>ショクイン</t>
    </rPh>
    <phoneticPr fontId="10"/>
  </si>
  <si>
    <t>がん相談支援センター</t>
    <phoneticPr fontId="10"/>
  </si>
  <si>
    <t>がん相談支援センター　AYAチーム　泌尿器外来</t>
    <rPh sb="2" eb="4">
      <t>ソウダン</t>
    </rPh>
    <rPh sb="4" eb="6">
      <t>シエン</t>
    </rPh>
    <rPh sb="18" eb="21">
      <t>ヒニョウキ</t>
    </rPh>
    <rPh sb="21" eb="23">
      <t>ガイライ</t>
    </rPh>
    <phoneticPr fontId="10"/>
  </si>
  <si>
    <t>HORACグランフロント大阪クリニック、IVFなんばクリニック、大阪大学医学部附属病院</t>
    <phoneticPr fontId="10"/>
  </si>
  <si>
    <t>大阪肝臓友の会</t>
    <phoneticPr fontId="10"/>
  </si>
  <si>
    <t>肝臓がん</t>
    <phoneticPr fontId="10"/>
  </si>
  <si>
    <t>チラシや会報などをがん相談支援センターにて閲覧・配布している。</t>
    <phoneticPr fontId="10"/>
  </si>
  <si>
    <t>大阪がんええナビ制作委員会</t>
    <phoneticPr fontId="10"/>
  </si>
  <si>
    <t>チラシや会報などをがん相談支援センターにて閲覧・配布している。
市民公開講座やがんサロンの開催案内など掲載してもらっている。</t>
    <phoneticPr fontId="10"/>
  </si>
  <si>
    <t>がんと共に生きる会</t>
    <phoneticPr fontId="10"/>
  </si>
  <si>
    <t>吹田ホスピス市民塾</t>
    <phoneticPr fontId="10"/>
  </si>
  <si>
    <t>若年性がん患者団体
STAND　UP!!</t>
    <phoneticPr fontId="10"/>
  </si>
  <si>
    <t>チラシや情報誌などをがん相談支援センターにて閲覧・配布している。</t>
    <phoneticPr fontId="10"/>
  </si>
  <si>
    <t>ストーマ外来</t>
    <rPh sb="4" eb="6">
      <t>ガイライ</t>
    </rPh>
    <phoneticPr fontId="10"/>
  </si>
  <si>
    <t>大腸がん、膀胱がん（コロストーマ、ウロストーマ両方実施）</t>
    <rPh sb="0" eb="2">
      <t>ダイチョウ</t>
    </rPh>
    <rPh sb="5" eb="7">
      <t>ボウコウ</t>
    </rPh>
    <rPh sb="23" eb="25">
      <t>リョウホウ</t>
    </rPh>
    <rPh sb="25" eb="27">
      <t>ジッシ</t>
    </rPh>
    <phoneticPr fontId="10"/>
  </si>
  <si>
    <t>尿路ストーマ</t>
  </si>
  <si>
    <t>コロストーマとウロストーマ両方選択できず</t>
    <rPh sb="13" eb="15">
      <t>リョウホウ</t>
    </rPh>
    <rPh sb="15" eb="17">
      <t>センタク</t>
    </rPh>
    <phoneticPr fontId="10"/>
  </si>
  <si>
    <t>リンパ浮腫外来</t>
    <rPh sb="3" eb="5">
      <t>フシュ</t>
    </rPh>
    <rPh sb="5" eb="7">
      <t>ガイライ</t>
    </rPh>
    <phoneticPr fontId="10"/>
  </si>
  <si>
    <t>乳がん、子宮がん、卵巣がん、前立腺がん、悪性黒色腫、大腸がん等の鼠径部、骨盤部、腋窩部のリンパ郭清を伴う悪性腫瘍、原発性リンパ浮腫</t>
    <rPh sb="0" eb="1">
      <t>ニュウ</t>
    </rPh>
    <rPh sb="4" eb="6">
      <t>シキュウ</t>
    </rPh>
    <rPh sb="9" eb="11">
      <t>ランソウ</t>
    </rPh>
    <rPh sb="14" eb="17">
      <t>ゼンリツセン</t>
    </rPh>
    <rPh sb="20" eb="22">
      <t>アクセイ</t>
    </rPh>
    <rPh sb="22" eb="25">
      <t>コクショクシュ</t>
    </rPh>
    <rPh sb="26" eb="28">
      <t>ダイチョウ</t>
    </rPh>
    <rPh sb="30" eb="31">
      <t>トウ</t>
    </rPh>
    <rPh sb="32" eb="35">
      <t>ソケイブ</t>
    </rPh>
    <rPh sb="36" eb="38">
      <t>コツバン</t>
    </rPh>
    <rPh sb="38" eb="39">
      <t>ブ</t>
    </rPh>
    <rPh sb="40" eb="42">
      <t>エキカ</t>
    </rPh>
    <rPh sb="42" eb="43">
      <t>ブ</t>
    </rPh>
    <rPh sb="47" eb="49">
      <t>カクセイ</t>
    </rPh>
    <rPh sb="50" eb="51">
      <t>トモナ</t>
    </rPh>
    <rPh sb="52" eb="54">
      <t>アクセイ</t>
    </rPh>
    <rPh sb="54" eb="56">
      <t>シュヨウ</t>
    </rPh>
    <rPh sb="57" eb="60">
      <t>ゲンパツセイ</t>
    </rPh>
    <rPh sb="63" eb="65">
      <t>フシュ</t>
    </rPh>
    <phoneticPr fontId="10"/>
  </si>
  <si>
    <t>心臓血管外科</t>
    <rPh sb="0" eb="2">
      <t>シンゾウ</t>
    </rPh>
    <rPh sb="2" eb="4">
      <t>ケッカン</t>
    </rPh>
    <rPh sb="4" eb="6">
      <t>ゲカ</t>
    </rPh>
    <phoneticPr fontId="10"/>
  </si>
  <si>
    <t>対応していない</t>
  </si>
  <si>
    <t>遺伝性腫瘍・大腸</t>
    <rPh sb="0" eb="3">
      <t>イデンセイ</t>
    </rPh>
    <rPh sb="3" eb="5">
      <t>シュヨウ</t>
    </rPh>
    <rPh sb="6" eb="8">
      <t>ダイチョウ</t>
    </rPh>
    <phoneticPr fontId="10"/>
  </si>
  <si>
    <t xml:space="preserve">・口腔腫瘍外来（口腔がん）　口腔癌は切除が治療の第一選択であるが、病期に応じて薬物療法や放射線療法を併用している。
・頭頚部腫瘍外来（口腔がん、咽頭がん、喉頭がん、甲状腺がん）　良性悪性をとわず、頭頚部腫瘍の診療をしています。　他施設からの患者の受入れ可。
・小児血液腫瘍外来（急性白血病）　当院では診断を行い、治療については阪大病院や大阪市立総合医療センターに依頼している。他施設からの患者の受入れ可。
</t>
    <phoneticPr fontId="10"/>
  </si>
  <si>
    <t>中級認定者</t>
  </si>
  <si>
    <t>専従</t>
  </si>
  <si>
    <t>初級認定者（みなし含む）</t>
  </si>
  <si>
    <t>初級認定試験・受験予定</t>
  </si>
  <si>
    <t>担当している診療科が窓口となっている</t>
  </si>
  <si>
    <t>臨床研究センター</t>
    <rPh sb="0" eb="2">
      <t>リンショウ</t>
    </rPh>
    <rPh sb="2" eb="4">
      <t>ケンキュウ</t>
    </rPh>
    <phoneticPr fontId="10"/>
  </si>
  <si>
    <t>rinsyou@chp.toyonaka.osaka.jp</t>
    <phoneticPr fontId="10"/>
  </si>
  <si>
    <t>専任（5割以上8割未満）</t>
  </si>
  <si>
    <t>医療安全管理者養成講座</t>
    <rPh sb="0" eb="2">
      <t>イリョウ</t>
    </rPh>
    <rPh sb="2" eb="4">
      <t>アンゼン</t>
    </rPh>
    <rPh sb="4" eb="6">
      <t>カンリ</t>
    </rPh>
    <rPh sb="6" eb="7">
      <t>シャ</t>
    </rPh>
    <rPh sb="7" eb="9">
      <t>ヨウセイ</t>
    </rPh>
    <rPh sb="9" eb="11">
      <t>コウザ</t>
    </rPh>
    <phoneticPr fontId="10"/>
  </si>
  <si>
    <t>セコム医療システム</t>
    <rPh sb="3" eb="5">
      <t>イリョウ</t>
    </rPh>
    <phoneticPr fontId="10"/>
  </si>
  <si>
    <t>令和元年12月10日</t>
    <rPh sb="0" eb="2">
      <t>レイワ</t>
    </rPh>
    <rPh sb="2" eb="4">
      <t>ガンネン</t>
    </rPh>
    <rPh sb="6" eb="7">
      <t>ガツ</t>
    </rPh>
    <rPh sb="9" eb="10">
      <t>ニチ</t>
    </rPh>
    <phoneticPr fontId="10"/>
  </si>
  <si>
    <t>専従（8割以上）</t>
  </si>
  <si>
    <t>大阪府看護協会医療安全管理者
養成研修</t>
    <rPh sb="0" eb="3">
      <t>オオサカフ</t>
    </rPh>
    <rPh sb="3" eb="5">
      <t>カンゴ</t>
    </rPh>
    <rPh sb="5" eb="7">
      <t>キョウカイ</t>
    </rPh>
    <rPh sb="7" eb="9">
      <t>イリョウ</t>
    </rPh>
    <rPh sb="9" eb="11">
      <t>アンゼン</t>
    </rPh>
    <rPh sb="11" eb="13">
      <t>カンリ</t>
    </rPh>
    <rPh sb="13" eb="14">
      <t>シャ</t>
    </rPh>
    <rPh sb="15" eb="17">
      <t>ヨウセイ</t>
    </rPh>
    <rPh sb="17" eb="19">
      <t>ケンシュウ</t>
    </rPh>
    <phoneticPr fontId="10"/>
  </si>
  <si>
    <t>大阪府看護協会</t>
    <rPh sb="0" eb="3">
      <t>オオサカフ</t>
    </rPh>
    <rPh sb="3" eb="5">
      <t>カンゴ</t>
    </rPh>
    <rPh sb="5" eb="7">
      <t>キョウカイ</t>
    </rPh>
    <phoneticPr fontId="10"/>
  </si>
  <si>
    <t>薬剤師</t>
  </si>
  <si>
    <t>一般社団法人　医療安全共同行動</t>
    <rPh sb="0" eb="2">
      <t>イッパン</t>
    </rPh>
    <rPh sb="2" eb="4">
      <t>シャダン</t>
    </rPh>
    <rPh sb="4" eb="6">
      <t>ホウジン</t>
    </rPh>
    <rPh sb="7" eb="9">
      <t>イリョウ</t>
    </rPh>
    <rPh sb="9" eb="11">
      <t>アンゼン</t>
    </rPh>
    <rPh sb="11" eb="13">
      <t>キョウドウ</t>
    </rPh>
    <rPh sb="13" eb="15">
      <t>コウドウ</t>
    </rPh>
    <phoneticPr fontId="10"/>
  </si>
  <si>
    <t>大阪府看護協会医療安全管理者
養成研修</t>
    <phoneticPr fontId="10"/>
  </si>
  <si>
    <t>大阪府看護協会</t>
    <phoneticPr fontId="10"/>
  </si>
  <si>
    <t>医療安全管理者養成講座</t>
    <phoneticPr fontId="10"/>
  </si>
  <si>
    <t>セコム医療システム</t>
    <phoneticPr fontId="10"/>
  </si>
  <si>
    <t>公益財団法人日本医療機能評価機構　医療機能評価</t>
    <rPh sb="0" eb="2">
      <t>コウエキ</t>
    </rPh>
    <rPh sb="2" eb="4">
      <t>ザイダン</t>
    </rPh>
    <rPh sb="4" eb="6">
      <t>ホウジン</t>
    </rPh>
    <rPh sb="6" eb="8">
      <t>ニホン</t>
    </rPh>
    <rPh sb="8" eb="10">
      <t>イリョウ</t>
    </rPh>
    <rPh sb="10" eb="12">
      <t>キノウ</t>
    </rPh>
    <rPh sb="12" eb="14">
      <t>ヒョウカ</t>
    </rPh>
    <rPh sb="14" eb="16">
      <t>キコウ</t>
    </rPh>
    <rPh sb="17" eb="19">
      <t>イリョウ</t>
    </rPh>
    <rPh sb="19" eb="21">
      <t>キノウ</t>
    </rPh>
    <rPh sb="21" eb="23">
      <t>ヒョウカ</t>
    </rPh>
    <phoneticPr fontId="10"/>
  </si>
  <si>
    <t>麻酔科2名、がん診療部１名、消化器外科1名、消化器内科1名、循環器内科1名、放射線治療科1名、産婦人科1名、歯科口腔外科1名、泌尿器科1名,血液内科1名</t>
    <phoneticPr fontId="10"/>
  </si>
  <si>
    <t>緩和ケアセンター1名、</t>
    <phoneticPr fontId="10"/>
  </si>
  <si>
    <t>その他（5割未満）</t>
  </si>
  <si>
    <t>がん看護専門看護師1名、緩和ケア認定看護師2名、がん性疼痛看護認定看護師1名、がん放射線療法看護認定看護師1名、乳がん看護認定看護師・リンパ浮腫療法士1名、家族支援専門看護師1名、NST専門療法士・呼吸療法認定士1名</t>
    <phoneticPr fontId="10"/>
  </si>
  <si>
    <t>緩和薬物療法認定薬剤師、糖尿病指導療法士、小児薬物療法認定薬剤師</t>
    <phoneticPr fontId="10"/>
  </si>
  <si>
    <t>麻薬教育認定薬剤師、緩和薬物療法認定薬剤師</t>
    <phoneticPr fontId="10"/>
  </si>
  <si>
    <t>社会福祉士・国立がん研究センター認定がん専門相談員2名</t>
    <phoneticPr fontId="10"/>
  </si>
  <si>
    <t>看護師・国立がん研究センター認定がん専門相談員1名</t>
    <phoneticPr fontId="10"/>
  </si>
  <si>
    <t>管理栄養士</t>
  </si>
  <si>
    <t>がん病態栄養専門管理栄養士・病態栄養専門管理栄養士・NST専門療法士・糖尿病療養指導士</t>
    <phoneticPr fontId="10"/>
  </si>
  <si>
    <t>公認心理師・臨床心理士</t>
    <phoneticPr fontId="10"/>
  </si>
  <si>
    <t>放射線技師</t>
    <phoneticPr fontId="10"/>
  </si>
  <si>
    <t>作業療法士</t>
    <phoneticPr fontId="10"/>
  </si>
  <si>
    <t>連携体制を構築していない</t>
  </si>
  <si>
    <t>院内及び地域の歯科医師と連携体制を構築</t>
  </si>
  <si>
    <t>院内の歯科医師と連携体制を構築</t>
  </si>
  <si>
    <t>（３）　当院においては、平成26年4月より、地域の歯科医療機関との連携による「周術期口腔機能管理」を実施。入院中の患者に対しては、当院歯科・口腔外科による厳密な口腔機能管理を行っている。
当院の手術を実施する診療科医師から地域の歯科医療機関あての「診療情報提供書」により、「周術期口腔機能管理計画」の策定と「周術期口腔機能管理」の実施を依頼。
地域の歯科医療機関において、計画策定と口腔機能管理（口腔ケア）を実施後、自院のカルテに「周術期口腔機能管理計画書」と「周術期口腔機能管理報告書（1）」を控え、患者が当院の手術前歯科診察を受診するまでに、「周術期口腔機能管理計画書」と「周術期口腔機能管理報告書（1）」を返送。
当院での手術後退院にあたり、連携歯科医療機関あての「診療情報提供書」により、「周術期口腔機能管理」の実施を依頼している。</t>
    <phoneticPr fontId="10"/>
  </si>
  <si>
    <t>化学療法を行う患者に対して、口腔健康管理について院内、地域の歯科医師との連携体制がある。</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</si>
</sst>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u/>
      <sz val="11"/>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sz val="11"/>
      <color rgb="FF3333FF"/>
      <name val="ＭＳ Ｐゴシック"/>
      <family val="3"/>
      <charset val="128"/>
    </font>
    <font>
      <u/>
      <sz val="9"/>
      <color rgb="FFFF0000"/>
      <name val="ＭＳ Ｐゴシック"/>
      <family val="3"/>
      <charset val="128"/>
    </font>
    <font>
      <b/>
      <sz val="10"/>
      <color rgb="FF000000"/>
      <name val="ＭＳ Ｐゴシック"/>
      <family val="3"/>
      <charset val="128"/>
    </font>
  </fonts>
  <fills count="57">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3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55">
    <xf numFmtId="0" fontId="0" fillId="0" borderId="0">
      <alignment vertical="center"/>
    </xf>
    <xf numFmtId="0" fontId="37" fillId="15" borderId="0" applyNumberFormat="0" applyBorder="0" applyAlignment="0" applyProtection="0">
      <alignment vertical="center"/>
    </xf>
    <xf numFmtId="0" fontId="35" fillId="0" borderId="0" applyNumberFormat="0" applyFill="0" applyBorder="0" applyAlignment="0" applyProtection="0">
      <alignment vertical="top"/>
      <protection locked="0"/>
    </xf>
    <xf numFmtId="0" fontId="16" fillId="0" borderId="0">
      <alignment vertical="center"/>
    </xf>
    <xf numFmtId="0" fontId="9" fillId="0" borderId="0">
      <alignment vertical="center"/>
    </xf>
    <xf numFmtId="0" fontId="38" fillId="0" borderId="0"/>
    <xf numFmtId="0" fontId="9" fillId="0" borderId="0">
      <alignment vertical="center"/>
    </xf>
    <xf numFmtId="0" fontId="38" fillId="0" borderId="0"/>
    <xf numFmtId="0" fontId="38"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59" fillId="36" borderId="0" applyNumberFormat="0" applyBorder="0" applyAlignment="0" applyProtection="0">
      <alignment vertical="center"/>
    </xf>
    <xf numFmtId="0" fontId="64" fillId="35" borderId="0" applyNumberFormat="0" applyBorder="0" applyAlignment="0" applyProtection="0">
      <alignment vertical="center"/>
    </xf>
    <xf numFmtId="0" fontId="7" fillId="0" borderId="0">
      <alignment vertical="center"/>
    </xf>
    <xf numFmtId="9" fontId="9" fillId="0" borderId="0" applyFont="0" applyFill="0" applyBorder="0" applyAlignment="0" applyProtection="0">
      <alignment vertical="center"/>
    </xf>
    <xf numFmtId="0" fontId="6" fillId="0" borderId="0">
      <alignment vertical="center"/>
    </xf>
    <xf numFmtId="38" fontId="9"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70">
    <xf numFmtId="0" fontId="0" fillId="0" borderId="0" xfId="0">
      <alignment vertical="center"/>
    </xf>
    <xf numFmtId="0" fontId="0" fillId="0" borderId="0" xfId="0" applyAlignment="1">
      <alignment horizontal="left" vertical="center"/>
    </xf>
    <xf numFmtId="0" fontId="12" fillId="6" borderId="1" xfId="0" applyFont="1" applyFill="1" applyBorder="1" applyAlignment="1" applyProtection="1">
      <alignment horizontal="center" vertical="center"/>
      <protection locked="0"/>
    </xf>
    <xf numFmtId="0" fontId="12" fillId="0" borderId="0" xfId="0" applyFont="1">
      <alignment vertical="center"/>
    </xf>
    <xf numFmtId="0" fontId="12" fillId="0" borderId="4" xfId="0" applyFont="1" applyBorder="1">
      <alignment vertical="center"/>
    </xf>
    <xf numFmtId="0" fontId="16" fillId="0" borderId="5" xfId="0" applyFont="1" applyBorder="1">
      <alignment vertical="center"/>
    </xf>
    <xf numFmtId="0" fontId="16" fillId="0" borderId="5" xfId="0" applyFont="1" applyBorder="1" applyAlignment="1">
      <alignment vertical="center" wrapText="1"/>
    </xf>
    <xf numFmtId="0" fontId="19" fillId="0" borderId="5" xfId="0" applyFont="1" applyBorder="1" applyAlignment="1">
      <alignment horizontal="center" vertical="center"/>
    </xf>
    <xf numFmtId="0" fontId="12" fillId="0" borderId="0" xfId="0" applyFont="1" applyAlignment="1">
      <alignment vertical="center" wrapText="1"/>
    </xf>
    <xf numFmtId="0" fontId="16" fillId="0" borderId="0" xfId="0" applyFont="1">
      <alignment vertical="center"/>
    </xf>
    <xf numFmtId="0" fontId="0" fillId="0" borderId="5" xfId="0" applyBorder="1">
      <alignment vertical="center"/>
    </xf>
    <xf numFmtId="0" fontId="12" fillId="0" borderId="0" xfId="0" applyFont="1" applyAlignment="1">
      <alignment horizontal="right" vertical="center"/>
    </xf>
    <xf numFmtId="180" fontId="19" fillId="0" borderId="19" xfId="0" applyNumberFormat="1" applyFont="1" applyBorder="1" applyAlignment="1" applyProtection="1">
      <alignment horizontal="center" vertical="center"/>
      <protection hidden="1"/>
    </xf>
    <xf numFmtId="179" fontId="19" fillId="0" borderId="0" xfId="0" applyNumberFormat="1" applyFont="1" applyProtection="1">
      <alignment vertical="center"/>
      <protection hidden="1"/>
    </xf>
    <xf numFmtId="179" fontId="0" fillId="0" borderId="0" xfId="0" applyNumberFormat="1" applyProtection="1">
      <alignment vertical="center"/>
      <protection hidden="1"/>
    </xf>
    <xf numFmtId="179" fontId="16" fillId="0" borderId="0" xfId="0" applyNumberFormat="1" applyFont="1" applyProtection="1">
      <alignment vertical="center"/>
      <protection hidden="1"/>
    </xf>
    <xf numFmtId="0" fontId="0" fillId="0" borderId="5" xfId="0" applyBorder="1" applyAlignment="1">
      <alignment horizontal="left" vertical="center"/>
    </xf>
    <xf numFmtId="0" fontId="21" fillId="0" borderId="0" xfId="0" applyFont="1">
      <alignment vertical="center"/>
    </xf>
    <xf numFmtId="0" fontId="21" fillId="0" borderId="0" xfId="0" applyFont="1" applyAlignment="1">
      <alignment horizontal="left" vertical="center"/>
    </xf>
    <xf numFmtId="0" fontId="13" fillId="0" borderId="0" xfId="0" applyFont="1">
      <alignment vertical="center"/>
    </xf>
    <xf numFmtId="0" fontId="12" fillId="0" borderId="0" xfId="0" applyFont="1" applyAlignment="1">
      <alignment horizontal="left" vertical="center" wrapText="1"/>
    </xf>
    <xf numFmtId="0" fontId="12" fillId="0" borderId="4" xfId="0" applyFont="1" applyBorder="1" applyAlignment="1">
      <alignment horizontal="left" vertical="center"/>
    </xf>
    <xf numFmtId="0" fontId="12" fillId="0" borderId="4" xfId="0" applyFont="1" applyBorder="1" applyAlignment="1">
      <alignment vertical="center" wrapText="1"/>
    </xf>
    <xf numFmtId="0" fontId="28" fillId="0" borderId="5" xfId="0" applyFont="1" applyBorder="1" applyAlignment="1">
      <alignment horizontal="left" vertical="center"/>
    </xf>
    <xf numFmtId="0" fontId="16" fillId="0" borderId="5" xfId="0" applyFont="1" applyBorder="1" applyAlignment="1">
      <alignment horizontal="left" vertical="center"/>
    </xf>
    <xf numFmtId="0" fontId="19" fillId="0" borderId="5" xfId="0" applyFont="1" applyBorder="1">
      <alignment vertical="center"/>
    </xf>
    <xf numFmtId="0" fontId="19" fillId="0" borderId="5" xfId="0" applyFont="1" applyBorder="1" applyAlignment="1">
      <alignment horizontal="left" vertical="center"/>
    </xf>
    <xf numFmtId="0" fontId="19" fillId="0" borderId="5" xfId="0" applyFont="1" applyBorder="1" applyAlignment="1">
      <alignment vertical="center" wrapText="1"/>
    </xf>
    <xf numFmtId="0" fontId="19" fillId="0" borderId="0" xfId="0" applyFont="1">
      <alignment vertical="center"/>
    </xf>
    <xf numFmtId="0" fontId="19" fillId="0" borderId="5"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5" xfId="0" applyFont="1" applyBorder="1" applyAlignment="1">
      <alignment horizontal="left" vertical="center" wrapText="1"/>
    </xf>
    <xf numFmtId="0" fontId="19" fillId="0" borderId="37" xfId="0" applyFont="1" applyBorder="1" applyAlignment="1">
      <alignment horizontal="center" vertical="center"/>
    </xf>
    <xf numFmtId="0" fontId="19" fillId="0" borderId="10" xfId="0" applyFont="1" applyBorder="1" applyAlignment="1">
      <alignment vertical="center" wrapText="1"/>
    </xf>
    <xf numFmtId="0" fontId="29" fillId="0" borderId="0" xfId="0" applyFont="1">
      <alignment vertical="center"/>
    </xf>
    <xf numFmtId="0" fontId="0" fillId="0" borderId="0" xfId="0" applyAlignment="1">
      <alignment vertical="center" wrapText="1"/>
    </xf>
    <xf numFmtId="179" fontId="21" fillId="0" borderId="0" xfId="0" applyNumberFormat="1" applyFont="1" applyProtection="1">
      <alignment vertical="center"/>
      <protection hidden="1"/>
    </xf>
    <xf numFmtId="179" fontId="12" fillId="0" borderId="0" xfId="0" applyNumberFormat="1" applyFont="1" applyProtection="1">
      <alignment vertical="center"/>
      <protection hidden="1"/>
    </xf>
    <xf numFmtId="179" fontId="29" fillId="0" borderId="0" xfId="0" applyNumberFormat="1" applyFont="1" applyProtection="1">
      <alignment vertical="center"/>
      <protection hidden="1"/>
    </xf>
    <xf numFmtId="180" fontId="19" fillId="0" borderId="5" xfId="0" applyNumberFormat="1" applyFont="1" applyBorder="1" applyAlignment="1" applyProtection="1">
      <alignment horizontal="center" vertical="center"/>
      <protection hidden="1"/>
    </xf>
    <xf numFmtId="0" fontId="16" fillId="4"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protection locked="0"/>
    </xf>
    <xf numFmtId="0" fontId="16" fillId="4" borderId="2" xfId="0" applyFont="1" applyFill="1" applyBorder="1" applyAlignment="1" applyProtection="1">
      <alignment horizontal="center" vertical="center"/>
      <protection locked="0"/>
    </xf>
    <xf numFmtId="0" fontId="12" fillId="11" borderId="76"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9" fillId="0" borderId="5" xfId="1" applyFont="1" applyFill="1" applyBorder="1" applyAlignment="1" applyProtection="1">
      <alignment vertical="center" wrapText="1"/>
    </xf>
    <xf numFmtId="0" fontId="9" fillId="0" borderId="10" xfId="1" applyFont="1" applyFill="1" applyBorder="1" applyAlignment="1" applyProtection="1">
      <alignment vertical="center" wrapText="1"/>
    </xf>
    <xf numFmtId="0" fontId="12" fillId="0" borderId="0" xfId="0" applyFont="1" applyAlignment="1">
      <alignment horizontal="left" vertical="center"/>
    </xf>
    <xf numFmtId="0" fontId="12" fillId="19" borderId="76" xfId="0" applyFont="1" applyFill="1" applyBorder="1" applyAlignment="1" applyProtection="1">
      <alignment horizontal="center" vertical="center"/>
      <protection locked="0"/>
    </xf>
    <xf numFmtId="0" fontId="17" fillId="4" borderId="1" xfId="0" applyFont="1" applyFill="1" applyBorder="1" applyAlignment="1" applyProtection="1">
      <alignment horizontal="center" vertical="center"/>
      <protection locked="0"/>
    </xf>
    <xf numFmtId="0" fontId="17" fillId="19" borderId="1" xfId="0" applyFont="1" applyFill="1" applyBorder="1" applyAlignment="1" applyProtection="1">
      <alignment horizontal="center" vertical="center" shrinkToFit="1"/>
      <protection locked="0"/>
    </xf>
    <xf numFmtId="0" fontId="17" fillId="4" borderId="1" xfId="0" applyFont="1" applyFill="1" applyBorder="1" applyAlignment="1" applyProtection="1">
      <alignment horizontal="center" vertical="center" shrinkToFit="1"/>
      <protection locked="0"/>
    </xf>
    <xf numFmtId="0" fontId="17" fillId="3"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protection locked="0"/>
    </xf>
    <xf numFmtId="0" fontId="17" fillId="7" borderId="1" xfId="0" applyFont="1" applyFill="1" applyBorder="1" applyAlignment="1" applyProtection="1">
      <alignment horizontal="center" vertical="center" shrinkToFit="1"/>
      <protection locked="0"/>
    </xf>
    <xf numFmtId="0" fontId="16" fillId="7" borderId="1" xfId="0" applyFont="1" applyFill="1" applyBorder="1" applyAlignment="1" applyProtection="1">
      <alignment horizontal="center" vertical="center" shrinkToFit="1"/>
      <protection locked="0"/>
    </xf>
    <xf numFmtId="0" fontId="16" fillId="5" borderId="1" xfId="0" applyFont="1" applyFill="1" applyBorder="1" applyAlignment="1" applyProtection="1">
      <alignment horizontal="center" vertical="center" wrapText="1"/>
      <protection locked="0"/>
    </xf>
    <xf numFmtId="56" fontId="16" fillId="5" borderId="1" xfId="0" applyNumberFormat="1" applyFont="1" applyFill="1" applyBorder="1" applyAlignment="1" applyProtection="1">
      <alignment horizontal="center" vertical="center" wrapText="1"/>
      <protection locked="0"/>
    </xf>
    <xf numFmtId="0" fontId="0" fillId="23" borderId="0" xfId="0" applyFill="1">
      <alignment vertical="center"/>
    </xf>
    <xf numFmtId="180" fontId="19" fillId="0" borderId="37" xfId="0" applyNumberFormat="1" applyFont="1" applyBorder="1" applyAlignment="1">
      <alignment horizontal="center" vertical="center"/>
    </xf>
    <xf numFmtId="0" fontId="16" fillId="23" borderId="0" xfId="0" applyFont="1" applyFill="1">
      <alignment vertical="center"/>
    </xf>
    <xf numFmtId="0" fontId="16" fillId="32" borderId="1" xfId="0" applyFont="1" applyFill="1" applyBorder="1" applyAlignment="1" applyProtection="1">
      <alignment horizontal="center" vertical="center" wrapText="1"/>
      <protection locked="0"/>
    </xf>
    <xf numFmtId="0" fontId="12" fillId="40" borderId="76" xfId="0" applyFont="1" applyFill="1" applyBorder="1" applyAlignment="1" applyProtection="1">
      <alignment horizontal="center" vertical="center"/>
      <protection locked="0"/>
    </xf>
    <xf numFmtId="0" fontId="67"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0" fillId="41" borderId="0" xfId="0" applyFill="1">
      <alignment vertical="center"/>
    </xf>
    <xf numFmtId="0" fontId="0" fillId="23" borderId="131" xfId="0" applyFill="1" applyBorder="1">
      <alignment vertical="center"/>
    </xf>
    <xf numFmtId="0" fontId="0" fillId="23" borderId="131" xfId="0" applyFill="1" applyBorder="1" applyAlignment="1">
      <alignment vertical="center" wrapText="1"/>
    </xf>
    <xf numFmtId="0" fontId="0" fillId="23" borderId="136" xfId="0" applyFill="1" applyBorder="1" applyAlignment="1">
      <alignment vertical="center" wrapText="1"/>
    </xf>
    <xf numFmtId="0" fontId="0" fillId="23" borderId="137" xfId="0" applyFill="1" applyBorder="1">
      <alignment vertical="center"/>
    </xf>
    <xf numFmtId="0" fontId="0" fillId="23" borderId="138" xfId="0" applyFill="1" applyBorder="1">
      <alignment vertical="center"/>
    </xf>
    <xf numFmtId="0" fontId="0" fillId="23" borderId="0" xfId="0" applyFill="1" applyAlignment="1">
      <alignment vertical="center" wrapText="1"/>
    </xf>
    <xf numFmtId="0" fontId="11" fillId="7" borderId="1" xfId="0" applyFont="1" applyFill="1" applyBorder="1" applyAlignment="1" applyProtection="1">
      <alignment horizontal="center" vertical="center"/>
      <protection locked="0"/>
    </xf>
    <xf numFmtId="0" fontId="0" fillId="23" borderId="192" xfId="0" applyFill="1" applyBorder="1">
      <alignment vertical="center"/>
    </xf>
    <xf numFmtId="0" fontId="0" fillId="7" borderId="1" xfId="0" applyFill="1" applyBorder="1" applyAlignment="1" applyProtection="1">
      <alignment horizontal="center" vertical="center"/>
      <protection locked="0"/>
    </xf>
    <xf numFmtId="0" fontId="19" fillId="0" borderId="195" xfId="0" applyFont="1" applyBorder="1" applyAlignment="1">
      <alignment horizontal="center" vertical="center"/>
    </xf>
    <xf numFmtId="0" fontId="29" fillId="0" borderId="37" xfId="0" applyFont="1" applyBorder="1" applyAlignment="1">
      <alignment horizontal="center" vertical="center"/>
    </xf>
    <xf numFmtId="180" fontId="19" fillId="48" borderId="37" xfId="0" applyNumberFormat="1" applyFont="1" applyFill="1" applyBorder="1" applyAlignment="1">
      <alignment horizontal="center" vertical="center"/>
    </xf>
    <xf numFmtId="0" fontId="19" fillId="0" borderId="38" xfId="0" applyFont="1" applyBorder="1" applyAlignment="1">
      <alignment horizontal="center" vertical="center"/>
    </xf>
    <xf numFmtId="0" fontId="19" fillId="0" borderId="11" xfId="0" applyFont="1" applyBorder="1" applyAlignment="1">
      <alignment horizontal="center" vertical="center"/>
    </xf>
    <xf numFmtId="0" fontId="19" fillId="0" borderId="11" xfId="0" applyFont="1" applyBorder="1" applyAlignment="1">
      <alignment horizontal="left" vertical="center"/>
    </xf>
    <xf numFmtId="0" fontId="19" fillId="0" borderId="11" xfId="0" applyFont="1" applyBorder="1" applyAlignment="1">
      <alignment vertical="center" wrapText="1"/>
    </xf>
    <xf numFmtId="0" fontId="19" fillId="0" borderId="0" xfId="0" applyFont="1" applyAlignment="1">
      <alignment horizontal="center" vertical="center"/>
    </xf>
    <xf numFmtId="0" fontId="19" fillId="0" borderId="0" xfId="0" applyFont="1" applyAlignment="1">
      <alignment horizontal="left" vertical="center"/>
    </xf>
    <xf numFmtId="0" fontId="19" fillId="0" borderId="0" xfId="0" applyFont="1" applyAlignment="1">
      <alignment vertical="center" wrapText="1"/>
    </xf>
    <xf numFmtId="0" fontId="16" fillId="23" borderId="63" xfId="0" applyFont="1" applyFill="1" applyBorder="1" applyAlignment="1" applyProtection="1">
      <alignment horizontal="left" vertical="center"/>
      <protection locked="0"/>
    </xf>
    <xf numFmtId="0" fontId="16" fillId="23" borderId="34" xfId="0" applyFont="1" applyFill="1" applyBorder="1" applyAlignment="1" applyProtection="1">
      <alignment horizontal="left" vertical="center"/>
      <protection locked="0"/>
    </xf>
    <xf numFmtId="0" fontId="82" fillId="0" borderId="5" xfId="0" applyFont="1" applyBorder="1" applyAlignment="1">
      <alignment horizontal="left" vertical="center"/>
    </xf>
    <xf numFmtId="176" fontId="36" fillId="18" borderId="1" xfId="9" applyNumberFormat="1" applyFill="1" applyBorder="1" applyAlignment="1" applyProtection="1">
      <alignment horizontal="center" vertical="center"/>
      <protection locked="0"/>
    </xf>
    <xf numFmtId="0" fontId="50" fillId="0" borderId="131" xfId="23" applyFont="1" applyBorder="1" applyAlignment="1" applyProtection="1">
      <alignment horizontal="center" vertical="center"/>
      <protection locked="0"/>
    </xf>
    <xf numFmtId="0" fontId="0" fillId="23" borderId="1" xfId="0" applyFill="1" applyBorder="1" applyAlignment="1" applyProtection="1">
      <alignment horizontal="center" vertical="center"/>
      <protection locked="0"/>
    </xf>
    <xf numFmtId="0" fontId="24" fillId="0" borderId="0" xfId="0" applyFont="1">
      <alignment vertical="center"/>
    </xf>
    <xf numFmtId="38" fontId="0" fillId="0" borderId="0" xfId="24" applyFont="1">
      <alignment vertical="center"/>
    </xf>
    <xf numFmtId="38" fontId="0" fillId="23" borderId="131" xfId="24" applyFont="1" applyFill="1" applyBorder="1">
      <alignment vertical="center"/>
    </xf>
    <xf numFmtId="9" fontId="0" fillId="0" borderId="1" xfId="22" applyFont="1" applyBorder="1">
      <alignment vertical="center"/>
    </xf>
    <xf numFmtId="0" fontId="12" fillId="23" borderId="0" xfId="0" applyFont="1" applyFill="1">
      <alignment vertical="center"/>
    </xf>
    <xf numFmtId="0" fontId="67" fillId="23" borderId="0" xfId="2" applyFont="1" applyFill="1" applyAlignment="1" applyProtection="1">
      <alignment vertical="center"/>
    </xf>
    <xf numFmtId="0" fontId="67" fillId="52" borderId="0" xfId="2" applyFont="1" applyFill="1" applyAlignment="1" applyProtection="1">
      <alignment vertical="center"/>
    </xf>
    <xf numFmtId="0" fontId="67" fillId="23" borderId="0" xfId="2" applyFont="1" applyFill="1" applyAlignment="1" applyProtection="1">
      <alignment horizontal="left" vertical="center"/>
    </xf>
    <xf numFmtId="0" fontId="19" fillId="25" borderId="0" xfId="0" applyFont="1" applyFill="1" applyAlignment="1">
      <alignment horizontal="center" vertical="center" textRotation="255" wrapText="1"/>
    </xf>
    <xf numFmtId="0" fontId="21" fillId="23" borderId="0" xfId="0" applyFont="1" applyFill="1">
      <alignment vertical="center"/>
    </xf>
    <xf numFmtId="0" fontId="12" fillId="23" borderId="79" xfId="0" applyFont="1" applyFill="1" applyBorder="1">
      <alignment vertical="center"/>
    </xf>
    <xf numFmtId="0" fontId="19" fillId="23" borderId="0" xfId="0" applyFont="1" applyFill="1">
      <alignment vertical="center"/>
    </xf>
    <xf numFmtId="0" fontId="16" fillId="23" borderId="0" xfId="0" applyFont="1" applyFill="1" applyAlignment="1">
      <alignment vertical="center" wrapText="1"/>
    </xf>
    <xf numFmtId="0" fontId="29" fillId="23" borderId="0" xfId="0" applyFont="1" applyFill="1">
      <alignment vertical="center"/>
    </xf>
    <xf numFmtId="0" fontId="0" fillId="49" borderId="132" xfId="0" applyFill="1" applyBorder="1" applyAlignment="1">
      <alignment vertical="center" wrapText="1"/>
    </xf>
    <xf numFmtId="0" fontId="0" fillId="42" borderId="132" xfId="0" applyFill="1" applyBorder="1" applyAlignment="1">
      <alignment vertical="center" wrapText="1"/>
    </xf>
    <xf numFmtId="9" fontId="0" fillId="49" borderId="132" xfId="22" applyFont="1" applyFill="1" applyBorder="1" applyAlignment="1">
      <alignment vertical="center" wrapText="1"/>
    </xf>
    <xf numFmtId="0" fontId="67" fillId="12" borderId="0" xfId="2" applyFont="1" applyFill="1" applyBorder="1" applyAlignment="1" applyProtection="1">
      <alignment vertical="center"/>
    </xf>
    <xf numFmtId="177" fontId="12" fillId="20" borderId="1" xfId="0" applyNumberFormat="1" applyFont="1" applyFill="1" applyBorder="1" applyAlignment="1" applyProtection="1">
      <alignment horizontal="left" vertical="center"/>
      <protection locked="0"/>
    </xf>
    <xf numFmtId="0" fontId="36" fillId="17" borderId="1" xfId="9" applyFill="1" applyBorder="1" applyAlignment="1" applyProtection="1">
      <alignment horizontal="left" vertical="center" wrapText="1" shrinkToFit="1"/>
      <protection locked="0"/>
    </xf>
    <xf numFmtId="0" fontId="16" fillId="31"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7" fillId="4" borderId="1" xfId="0" applyFont="1" applyFill="1" applyBorder="1" applyAlignment="1" applyProtection="1">
      <alignment horizontal="center" vertical="center" wrapText="1"/>
      <protection locked="0"/>
    </xf>
    <xf numFmtId="0" fontId="16" fillId="7" borderId="28" xfId="0" applyFont="1" applyFill="1" applyBorder="1" applyAlignment="1" applyProtection="1">
      <alignment horizontal="center" vertical="center" wrapText="1"/>
      <protection locked="0"/>
    </xf>
    <xf numFmtId="0" fontId="17" fillId="19" borderId="1" xfId="0" applyFont="1" applyFill="1" applyBorder="1" applyAlignment="1" applyProtection="1">
      <alignment horizontal="center" vertical="center" wrapText="1"/>
      <protection locked="0"/>
    </xf>
    <xf numFmtId="0" fontId="67" fillId="23" borderId="0" xfId="2" applyFont="1" applyFill="1" applyBorder="1" applyAlignment="1" applyProtection="1">
      <alignment vertical="center"/>
    </xf>
    <xf numFmtId="0" fontId="16" fillId="5" borderId="28"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protection locked="0"/>
    </xf>
    <xf numFmtId="0" fontId="16" fillId="23" borderId="0" xfId="0" applyFont="1" applyFill="1" applyAlignment="1">
      <alignment horizontal="left" vertical="center"/>
    </xf>
    <xf numFmtId="0" fontId="17" fillId="17" borderId="58" xfId="0" applyFont="1" applyFill="1" applyBorder="1" applyAlignment="1" applyProtection="1">
      <alignment horizontal="center" vertical="center" wrapText="1"/>
      <protection locked="0"/>
    </xf>
    <xf numFmtId="0" fontId="0" fillId="17" borderId="131" xfId="0"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69" fillId="0" borderId="0" xfId="9" applyFont="1" applyAlignment="1">
      <alignment horizontal="left" vertical="center"/>
    </xf>
    <xf numFmtId="0" fontId="36" fillId="0" borderId="0" xfId="9" applyAlignment="1">
      <alignment horizontal="left" vertical="center"/>
    </xf>
    <xf numFmtId="0" fontId="48" fillId="0" borderId="83" xfId="9" applyFont="1" applyBorder="1">
      <alignment vertical="center"/>
    </xf>
    <xf numFmtId="0" fontId="36" fillId="0" borderId="85" xfId="9" applyBorder="1" applyAlignment="1">
      <alignment horizontal="left" vertical="center"/>
    </xf>
    <xf numFmtId="0" fontId="39" fillId="26" borderId="86" xfId="9" applyFont="1" applyFill="1" applyBorder="1" applyAlignment="1">
      <alignment horizontal="center" vertical="center"/>
    </xf>
    <xf numFmtId="0" fontId="49" fillId="26" borderId="87" xfId="9" applyFont="1" applyFill="1" applyBorder="1" applyAlignment="1">
      <alignment horizontal="left" vertical="center"/>
    </xf>
    <xf numFmtId="0" fontId="36" fillId="26" borderId="87" xfId="9" applyFill="1" applyBorder="1" applyAlignment="1">
      <alignment horizontal="left" vertical="center" wrapText="1"/>
    </xf>
    <xf numFmtId="0" fontId="36" fillId="26" borderId="88" xfId="9" applyFill="1" applyBorder="1" applyAlignment="1">
      <alignment horizontal="left" vertical="center"/>
    </xf>
    <xf numFmtId="0" fontId="36" fillId="0" borderId="0" xfId="9" applyAlignment="1">
      <alignment horizontal="center" vertical="center"/>
    </xf>
    <xf numFmtId="0" fontId="36" fillId="0" borderId="0" xfId="9" applyAlignment="1">
      <alignment horizontal="left" vertical="center" wrapText="1"/>
    </xf>
    <xf numFmtId="0" fontId="36" fillId="0" borderId="21" xfId="9" applyBorder="1" applyAlignment="1">
      <alignment horizontal="left" vertical="center"/>
    </xf>
    <xf numFmtId="0" fontId="50" fillId="0" borderId="0" xfId="9" applyFont="1" applyAlignment="1">
      <alignment horizontal="left" vertical="center"/>
    </xf>
    <xf numFmtId="0" fontId="50" fillId="0" borderId="0" xfId="9" applyFont="1" applyAlignment="1">
      <alignment horizontal="left" vertical="center" wrapText="1"/>
    </xf>
    <xf numFmtId="0" fontId="50" fillId="0" borderId="0" xfId="9" applyFont="1" applyAlignment="1">
      <alignment horizontal="center" vertical="center" wrapText="1"/>
    </xf>
    <xf numFmtId="0" fontId="50" fillId="0" borderId="21" xfId="9" applyFont="1" applyBorder="1" applyAlignment="1">
      <alignment horizontal="left" vertical="center"/>
    </xf>
    <xf numFmtId="0" fontId="36" fillId="0" borderId="0" xfId="9" applyAlignment="1">
      <alignment horizontal="center" vertical="center" wrapText="1"/>
    </xf>
    <xf numFmtId="0" fontId="40" fillId="0" borderId="0" xfId="9" applyFont="1" applyAlignment="1">
      <alignment horizontal="left" vertical="center" wrapText="1"/>
    </xf>
    <xf numFmtId="0" fontId="49" fillId="26" borderId="0" xfId="9" applyFont="1" applyFill="1" applyAlignment="1">
      <alignment horizontal="left" vertical="center"/>
    </xf>
    <xf numFmtId="0" fontId="36" fillId="26" borderId="0" xfId="9" applyFill="1" applyAlignment="1">
      <alignment horizontal="left" vertical="center" wrapText="1"/>
    </xf>
    <xf numFmtId="0" fontId="36" fillId="26" borderId="21" xfId="9" applyFill="1" applyBorder="1" applyAlignment="1">
      <alignment horizontal="left" vertical="center"/>
    </xf>
    <xf numFmtId="0" fontId="36" fillId="0" borderId="0" xfId="9">
      <alignment vertical="center"/>
    </xf>
    <xf numFmtId="0" fontId="36" fillId="27" borderId="0" xfId="9" applyFill="1" applyAlignment="1">
      <alignment horizontal="center" vertical="center"/>
    </xf>
    <xf numFmtId="0" fontId="52" fillId="27" borderId="0" xfId="9" applyFont="1" applyFill="1" applyAlignment="1">
      <alignment horizontal="left" vertical="center"/>
    </xf>
    <xf numFmtId="0" fontId="36" fillId="27" borderId="0" xfId="9" applyFill="1" applyAlignment="1">
      <alignment horizontal="left" vertical="center" wrapText="1"/>
    </xf>
    <xf numFmtId="0" fontId="36" fillId="27" borderId="21" xfId="9" applyFill="1" applyBorder="1" applyAlignment="1">
      <alignment horizontal="left" vertical="center"/>
    </xf>
    <xf numFmtId="0" fontId="36" fillId="27" borderId="0" xfId="9" applyFill="1" applyAlignment="1">
      <alignment horizontal="left" vertical="center"/>
    </xf>
    <xf numFmtId="0" fontId="54" fillId="0" borderId="0" xfId="9" applyFont="1" applyAlignment="1">
      <alignment horizontal="left" vertical="center" wrapText="1"/>
    </xf>
    <xf numFmtId="0" fontId="36" fillId="17" borderId="1" xfId="9" applyFill="1" applyBorder="1" applyAlignment="1">
      <alignment horizontal="center" vertical="center" shrinkToFit="1"/>
    </xf>
    <xf numFmtId="176" fontId="36" fillId="18" borderId="1" xfId="9" applyNumberFormat="1" applyFill="1" applyBorder="1" applyAlignment="1">
      <alignment horizontal="center" vertical="center"/>
    </xf>
    <xf numFmtId="0" fontId="36" fillId="19" borderId="1" xfId="9" applyFill="1" applyBorder="1" applyAlignment="1">
      <alignment horizontal="center" vertical="center"/>
    </xf>
    <xf numFmtId="0" fontId="36" fillId="27" borderId="0" xfId="9" applyFill="1" applyAlignment="1">
      <alignment horizontal="center" vertical="center" wrapText="1"/>
    </xf>
    <xf numFmtId="0" fontId="36" fillId="27" borderId="0" xfId="9" applyFill="1">
      <alignment vertical="center"/>
    </xf>
    <xf numFmtId="0" fontId="36" fillId="27" borderId="0" xfId="9" applyFill="1" applyAlignment="1">
      <alignment vertical="center" wrapText="1"/>
    </xf>
    <xf numFmtId="0" fontId="36" fillId="0" borderId="0" xfId="9" applyAlignment="1">
      <alignment vertical="center" wrapText="1"/>
    </xf>
    <xf numFmtId="179" fontId="0" fillId="0" borderId="0" xfId="0" applyNumberFormat="1">
      <alignment vertical="center"/>
    </xf>
    <xf numFmtId="0" fontId="28" fillId="23" borderId="0" xfId="0" applyFont="1" applyFill="1" applyAlignment="1">
      <alignment horizontal="left" vertical="center"/>
    </xf>
    <xf numFmtId="0" fontId="16" fillId="23" borderId="35" xfId="0" applyFont="1" applyFill="1" applyBorder="1" applyAlignment="1" applyProtection="1">
      <alignment horizontal="left" vertical="center"/>
      <protection locked="0"/>
    </xf>
    <xf numFmtId="0" fontId="16" fillId="23" borderId="90" xfId="0" applyFont="1" applyFill="1" applyBorder="1" applyAlignment="1" applyProtection="1">
      <alignment horizontal="left" vertical="center"/>
      <protection locked="0"/>
    </xf>
    <xf numFmtId="0" fontId="16" fillId="23" borderId="0" xfId="0" applyFont="1" applyFill="1" applyAlignment="1" applyProtection="1">
      <alignment horizontal="left" vertical="center"/>
      <protection locked="0"/>
    </xf>
    <xf numFmtId="0" fontId="16" fillId="23" borderId="34" xfId="0" applyFont="1" applyFill="1" applyBorder="1" applyAlignment="1" applyProtection="1">
      <alignment horizontal="left" vertical="center" wrapText="1"/>
      <protection locked="0"/>
    </xf>
    <xf numFmtId="0" fontId="12" fillId="23" borderId="34" xfId="0" applyFont="1" applyFill="1" applyBorder="1" applyAlignment="1" applyProtection="1">
      <alignment horizontal="left" vertical="center"/>
      <protection locked="0"/>
    </xf>
    <xf numFmtId="0" fontId="45" fillId="23" borderId="34" xfId="0" applyFont="1" applyFill="1" applyBorder="1" applyAlignment="1" applyProtection="1">
      <alignment horizontal="left" vertical="center"/>
      <protection locked="0"/>
    </xf>
    <xf numFmtId="0" fontId="0" fillId="23" borderId="198" xfId="0" applyFill="1" applyBorder="1" applyAlignment="1" applyProtection="1">
      <alignment horizontal="left" vertical="center"/>
      <protection locked="0"/>
    </xf>
    <xf numFmtId="0" fontId="43" fillId="23" borderId="198" xfId="0" applyFont="1" applyFill="1" applyBorder="1" applyAlignment="1" applyProtection="1">
      <alignment horizontal="left" vertical="center"/>
      <protection locked="0"/>
    </xf>
    <xf numFmtId="0" fontId="0" fillId="0" borderId="198" xfId="0" applyBorder="1" applyAlignment="1" applyProtection="1">
      <alignment horizontal="left" vertical="center"/>
      <protection locked="0"/>
    </xf>
    <xf numFmtId="0" fontId="0" fillId="23" borderId="199" xfId="0" applyFill="1" applyBorder="1" applyAlignment="1" applyProtection="1">
      <alignment horizontal="left" vertical="center"/>
      <protection locked="0"/>
    </xf>
    <xf numFmtId="0" fontId="50" fillId="23" borderId="79" xfId="21" applyFont="1" applyFill="1" applyBorder="1" applyAlignment="1" applyProtection="1">
      <alignment horizontal="left" vertical="center"/>
      <protection locked="0"/>
    </xf>
    <xf numFmtId="0" fontId="50" fillId="23" borderId="120" xfId="21" applyFont="1" applyFill="1" applyBorder="1" applyAlignment="1" applyProtection="1">
      <alignment horizontal="left" vertical="center"/>
      <protection locked="0"/>
    </xf>
    <xf numFmtId="0" fontId="67" fillId="12" borderId="0" xfId="2" applyFont="1" applyFill="1" applyAlignment="1" applyProtection="1">
      <alignment horizontal="left" vertical="center"/>
    </xf>
    <xf numFmtId="0" fontId="16" fillId="12" borderId="34" xfId="0" applyFont="1" applyFill="1" applyBorder="1" applyAlignment="1" applyProtection="1">
      <alignment horizontal="left" vertical="center"/>
      <protection locked="0"/>
    </xf>
    <xf numFmtId="0" fontId="16" fillId="12" borderId="35" xfId="0" applyFont="1" applyFill="1" applyBorder="1" applyAlignment="1" applyProtection="1">
      <alignment horizontal="left" vertical="center"/>
      <protection locked="0"/>
    </xf>
    <xf numFmtId="0" fontId="41" fillId="23" borderId="34" xfId="0" applyFont="1" applyFill="1" applyBorder="1" applyAlignment="1" applyProtection="1">
      <alignment horizontal="left" vertical="center"/>
      <protection locked="0"/>
    </xf>
    <xf numFmtId="0" fontId="16" fillId="0" borderId="34"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41" fillId="23" borderId="34" xfId="0" applyFont="1" applyFill="1" applyBorder="1" applyAlignment="1" applyProtection="1">
      <alignment horizontal="left" vertical="center" wrapText="1"/>
      <protection locked="0"/>
    </xf>
    <xf numFmtId="0" fontId="16" fillId="34" borderId="34" xfId="0" applyFont="1" applyFill="1" applyBorder="1" applyAlignment="1" applyProtection="1">
      <alignment horizontal="left" vertical="center"/>
      <protection locked="0"/>
    </xf>
    <xf numFmtId="0" fontId="41" fillId="23" borderId="34" xfId="0" applyFont="1" applyFill="1" applyBorder="1" applyAlignment="1" applyProtection="1">
      <alignment horizontal="left" vertical="top"/>
      <protection locked="0"/>
    </xf>
    <xf numFmtId="0" fontId="16" fillId="23" borderId="34" xfId="0" applyFont="1" applyFill="1" applyBorder="1" applyAlignment="1" applyProtection="1">
      <alignment horizontal="left" vertical="top"/>
      <protection locked="0"/>
    </xf>
    <xf numFmtId="0" fontId="16" fillId="23" borderId="34" xfId="0" applyFont="1" applyFill="1" applyBorder="1" applyAlignment="1" applyProtection="1">
      <alignment horizontal="left" vertical="top" wrapText="1"/>
      <protection locked="0"/>
    </xf>
    <xf numFmtId="0" fontId="16" fillId="23" borderId="35" xfId="0" applyFont="1" applyFill="1" applyBorder="1" applyAlignment="1" applyProtection="1">
      <alignment horizontal="left" vertical="top"/>
      <protection locked="0"/>
    </xf>
    <xf numFmtId="0" fontId="22" fillId="23" borderId="34" xfId="0" applyFont="1" applyFill="1" applyBorder="1" applyAlignment="1" applyProtection="1">
      <alignment horizontal="left" vertical="center"/>
      <protection locked="0"/>
    </xf>
    <xf numFmtId="0" fontId="9" fillId="23" borderId="34" xfId="0" applyFont="1" applyFill="1" applyBorder="1" applyAlignment="1" applyProtection="1">
      <alignment horizontal="left" vertical="center"/>
      <protection locked="0"/>
    </xf>
    <xf numFmtId="0" fontId="41" fillId="23" borderId="35" xfId="0" applyFont="1" applyFill="1" applyBorder="1" applyAlignment="1" applyProtection="1">
      <alignment horizontal="left" vertical="center"/>
      <protection locked="0"/>
    </xf>
    <xf numFmtId="0" fontId="16" fillId="23" borderId="98" xfId="0" applyFont="1" applyFill="1" applyBorder="1" applyAlignment="1" applyProtection="1">
      <alignment horizontal="left" vertical="center"/>
      <protection locked="0"/>
    </xf>
    <xf numFmtId="0" fontId="16" fillId="23" borderId="63" xfId="0" applyFont="1" applyFill="1" applyBorder="1" applyAlignment="1">
      <alignment horizontal="left" vertical="center"/>
    </xf>
    <xf numFmtId="0" fontId="16" fillId="23" borderId="34" xfId="0" applyFont="1" applyFill="1" applyBorder="1" applyAlignment="1">
      <alignment horizontal="left" vertical="center"/>
    </xf>
    <xf numFmtId="0" fontId="16" fillId="23" borderId="90" xfId="0" applyFont="1" applyFill="1" applyBorder="1" applyAlignment="1">
      <alignment horizontal="left" vertical="center"/>
    </xf>
    <xf numFmtId="179" fontId="16" fillId="23" borderId="0" xfId="0" applyNumberFormat="1" applyFont="1" applyFill="1">
      <alignment vertical="center"/>
    </xf>
    <xf numFmtId="0" fontId="11" fillId="0" borderId="0" xfId="0" applyFont="1">
      <alignment vertical="center"/>
    </xf>
    <xf numFmtId="0" fontId="11" fillId="0" borderId="0" xfId="0" applyFont="1" applyAlignment="1">
      <alignment vertical="center" wrapText="1"/>
    </xf>
    <xf numFmtId="0" fontId="12" fillId="0" borderId="0" xfId="0" applyFont="1" applyAlignment="1">
      <alignment horizontal="center" vertical="center"/>
    </xf>
    <xf numFmtId="0" fontId="11" fillId="0" borderId="0" xfId="0" applyFont="1" applyAlignment="1">
      <alignment horizontal="right" vertical="center"/>
    </xf>
    <xf numFmtId="0" fontId="12" fillId="23" borderId="0" xfId="0" applyFont="1" applyFill="1" applyAlignment="1">
      <alignment horizontal="left" vertical="center"/>
    </xf>
    <xf numFmtId="0" fontId="11" fillId="23" borderId="0" xfId="0" applyFont="1" applyFill="1" applyAlignment="1">
      <alignment horizontal="left" vertical="center"/>
    </xf>
    <xf numFmtId="0" fontId="12" fillId="23" borderId="63" xfId="0" applyFont="1" applyFill="1" applyBorder="1" applyAlignment="1">
      <alignment horizontal="left" vertical="center"/>
    </xf>
    <xf numFmtId="0" fontId="12" fillId="0" borderId="131" xfId="0" applyFont="1" applyBorder="1" applyAlignment="1">
      <alignment horizontal="center" vertical="center"/>
    </xf>
    <xf numFmtId="0" fontId="45" fillId="0" borderId="0" xfId="0" applyFont="1" applyAlignment="1">
      <alignment horizontal="left" vertical="center"/>
    </xf>
    <xf numFmtId="0" fontId="45" fillId="0" borderId="0" xfId="0" applyFont="1">
      <alignment vertical="center"/>
    </xf>
    <xf numFmtId="0" fontId="42" fillId="0" borderId="0" xfId="0" applyFont="1">
      <alignment vertical="center"/>
    </xf>
    <xf numFmtId="0" fontId="41" fillId="0" borderId="0" xfId="0" applyFont="1">
      <alignment vertical="center"/>
    </xf>
    <xf numFmtId="178" fontId="11" fillId="0" borderId="0" xfId="0" applyNumberFormat="1" applyFont="1">
      <alignment vertical="center"/>
    </xf>
    <xf numFmtId="0" fontId="16" fillId="0" borderId="139" xfId="0" applyFont="1" applyBorder="1">
      <alignment vertical="center"/>
    </xf>
    <xf numFmtId="0" fontId="11" fillId="0" borderId="15" xfId="0" applyFont="1" applyBorder="1">
      <alignment vertical="center"/>
    </xf>
    <xf numFmtId="0" fontId="11" fillId="0" borderId="10" xfId="0" applyFont="1" applyBorder="1">
      <alignment vertical="center"/>
    </xf>
    <xf numFmtId="0" fontId="12" fillId="0" borderId="10" xfId="0" applyFont="1" applyBorder="1">
      <alignment vertical="center"/>
    </xf>
    <xf numFmtId="0" fontId="11" fillId="0" borderId="10" xfId="0" applyFont="1" applyBorder="1" applyAlignment="1">
      <alignment vertical="center" wrapText="1"/>
    </xf>
    <xf numFmtId="180" fontId="12"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1" fillId="0" borderId="8" xfId="0" applyFont="1" applyBorder="1">
      <alignment vertical="center"/>
    </xf>
    <xf numFmtId="0" fontId="11" fillId="0" borderId="5" xfId="0" applyFont="1" applyBorder="1">
      <alignment vertical="center"/>
    </xf>
    <xf numFmtId="0" fontId="12" fillId="0" borderId="5" xfId="0" applyFont="1" applyBorder="1">
      <alignment vertical="center"/>
    </xf>
    <xf numFmtId="0" fontId="11" fillId="0" borderId="5" xfId="0" applyFont="1" applyBorder="1" applyAlignment="1">
      <alignment vertical="center" wrapText="1"/>
    </xf>
    <xf numFmtId="0" fontId="0" fillId="0" borderId="9" xfId="0" applyBorder="1" applyAlignment="1">
      <alignment vertical="center" wrapText="1"/>
    </xf>
    <xf numFmtId="0" fontId="42" fillId="0" borderId="8" xfId="0" applyFont="1" applyBorder="1">
      <alignment vertical="center"/>
    </xf>
    <xf numFmtId="0" fontId="12" fillId="24" borderId="12" xfId="0" applyFont="1" applyFill="1" applyBorder="1" applyAlignment="1">
      <alignment horizontal="left" vertical="center"/>
    </xf>
    <xf numFmtId="0" fontId="12" fillId="0" borderId="18" xfId="0" applyFont="1" applyBorder="1">
      <alignment vertical="center"/>
    </xf>
    <xf numFmtId="0" fontId="12" fillId="0" borderId="9" xfId="0" applyFont="1" applyBorder="1">
      <alignment vertical="center"/>
    </xf>
    <xf numFmtId="0" fontId="12" fillId="0" borderId="5" xfId="0" applyFont="1" applyBorder="1" applyAlignment="1">
      <alignment horizontal="right" vertical="center" wrapText="1"/>
    </xf>
    <xf numFmtId="0" fontId="0" fillId="0" borderId="18" xfId="0" applyBorder="1" applyAlignment="1">
      <alignment horizontal="left" vertical="center"/>
    </xf>
    <xf numFmtId="0" fontId="12" fillId="0" borderId="23" xfId="0" applyFont="1" applyBorder="1">
      <alignment vertical="center"/>
    </xf>
    <xf numFmtId="0" fontId="12" fillId="0" borderId="10" xfId="0" applyFont="1" applyBorder="1" applyAlignment="1">
      <alignment vertical="center" wrapText="1"/>
    </xf>
    <xf numFmtId="0" fontId="12" fillId="0" borderId="10" xfId="0" applyFont="1" applyBorder="1" applyAlignment="1">
      <alignment horizontal="center" vertical="center" wrapText="1"/>
    </xf>
    <xf numFmtId="0" fontId="16" fillId="0" borderId="10" xfId="0" applyFont="1" applyBorder="1">
      <alignment vertical="center"/>
    </xf>
    <xf numFmtId="0" fontId="16" fillId="0" borderId="9" xfId="0" applyFont="1" applyBorder="1">
      <alignment vertical="center"/>
    </xf>
    <xf numFmtId="0" fontId="12" fillId="0" borderId="5" xfId="0" applyFont="1" applyBorder="1" applyAlignment="1">
      <alignment vertical="center" wrapText="1"/>
    </xf>
    <xf numFmtId="0" fontId="11" fillId="0" borderId="5" xfId="0" applyFont="1" applyBorder="1" applyAlignment="1">
      <alignment horizontal="center" vertical="center"/>
    </xf>
    <xf numFmtId="0" fontId="11" fillId="0" borderId="9" xfId="0" applyFont="1" applyBorder="1">
      <alignment vertical="center"/>
    </xf>
    <xf numFmtId="0" fontId="12" fillId="0" borderId="5" xfId="0" applyFont="1" applyBorder="1" applyAlignment="1">
      <alignment horizontal="center" vertical="center" wrapText="1"/>
    </xf>
    <xf numFmtId="0" fontId="12" fillId="49" borderId="0" xfId="0" applyFont="1" applyFill="1">
      <alignment vertical="center"/>
    </xf>
    <xf numFmtId="0" fontId="12" fillId="0" borderId="5" xfId="0" applyFont="1" applyBorder="1" applyAlignment="1">
      <alignment horizontal="center" vertical="center"/>
    </xf>
    <xf numFmtId="1" fontId="11" fillId="49" borderId="0" xfId="0" applyNumberFormat="1" applyFont="1" applyFill="1">
      <alignment vertical="center"/>
    </xf>
    <xf numFmtId="0" fontId="11" fillId="0" borderId="5" xfId="0" applyFont="1" applyBorder="1" applyAlignment="1">
      <alignment horizontal="left" vertical="center"/>
    </xf>
    <xf numFmtId="0" fontId="12" fillId="0" borderId="5" xfId="0" applyFont="1" applyBorder="1" applyAlignment="1">
      <alignment horizontal="left" vertical="center"/>
    </xf>
    <xf numFmtId="0" fontId="11" fillId="53" borderId="0" xfId="0" applyFont="1" applyFill="1">
      <alignment vertical="center"/>
    </xf>
    <xf numFmtId="0" fontId="11" fillId="0" borderId="5" xfId="0" applyFont="1" applyBorder="1" applyAlignment="1">
      <alignment horizontal="right" vertical="center" wrapText="1"/>
    </xf>
    <xf numFmtId="0" fontId="11" fillId="0" borderId="16" xfId="0" applyFont="1" applyBorder="1" applyAlignment="1">
      <alignment horizontal="right" vertical="center"/>
    </xf>
    <xf numFmtId="0" fontId="11" fillId="49" borderId="0" xfId="0" applyFont="1" applyFill="1">
      <alignment vertical="center"/>
    </xf>
    <xf numFmtId="0" fontId="12" fillId="0" borderId="11" xfId="0" applyFont="1" applyBorder="1" applyAlignment="1">
      <alignment horizontal="center" vertical="center"/>
    </xf>
    <xf numFmtId="0" fontId="0" fillId="0" borderId="11" xfId="0" applyBorder="1" applyAlignment="1">
      <alignment horizontal="center" vertical="center" wrapText="1"/>
    </xf>
    <xf numFmtId="0" fontId="12" fillId="0" borderId="12" xfId="0" applyFont="1" applyBorder="1" applyAlignment="1">
      <alignment horizontal="center" vertical="center"/>
    </xf>
    <xf numFmtId="0" fontId="11" fillId="0" borderId="5" xfId="0" applyFont="1" applyBorder="1" applyAlignment="1">
      <alignment horizontal="left" vertical="center" readingOrder="1"/>
    </xf>
    <xf numFmtId="0" fontId="11" fillId="0" borderId="5" xfId="0" applyFont="1" applyBorder="1" applyAlignment="1">
      <alignment horizontal="left" vertical="center" wrapText="1" readingOrder="1"/>
    </xf>
    <xf numFmtId="0" fontId="11" fillId="0" borderId="0" xfId="0" applyFont="1" applyAlignment="1">
      <alignment horizontal="left" vertical="center" readingOrder="1"/>
    </xf>
    <xf numFmtId="0" fontId="11" fillId="0" borderId="11" xfId="0" applyFont="1" applyBorder="1" applyAlignment="1">
      <alignment horizontal="left" vertical="center" wrapText="1" readingOrder="1"/>
    </xf>
    <xf numFmtId="0" fontId="11" fillId="0" borderId="0" xfId="0" applyFont="1" applyAlignment="1">
      <alignment horizontal="left" vertical="center" wrapText="1" readingOrder="1"/>
    </xf>
    <xf numFmtId="0" fontId="91" fillId="0" borderId="5" xfId="0" applyFont="1" applyBorder="1">
      <alignment vertical="center"/>
    </xf>
    <xf numFmtId="0" fontId="91" fillId="0" borderId="5" xfId="0" applyFont="1" applyBorder="1" applyAlignment="1">
      <alignment vertical="center" wrapText="1"/>
    </xf>
    <xf numFmtId="0" fontId="99" fillId="49" borderId="0" xfId="0" applyFont="1" applyFill="1">
      <alignment vertical="center"/>
    </xf>
    <xf numFmtId="0" fontId="91" fillId="0" borderId="0" xfId="0" applyFont="1">
      <alignment vertical="center"/>
    </xf>
    <xf numFmtId="0" fontId="89" fillId="0" borderId="0" xfId="0" applyFont="1">
      <alignment vertical="center"/>
    </xf>
    <xf numFmtId="0" fontId="91" fillId="0" borderId="0" xfId="0" applyFont="1" applyAlignment="1">
      <alignment vertical="center" wrapText="1"/>
    </xf>
    <xf numFmtId="0" fontId="89" fillId="0" borderId="0" xfId="0" applyFont="1" applyAlignment="1">
      <alignment vertical="center" wrapText="1"/>
    </xf>
    <xf numFmtId="0" fontId="89" fillId="0" borderId="5" xfId="0" applyFont="1" applyBorder="1">
      <alignment vertical="center"/>
    </xf>
    <xf numFmtId="0" fontId="93" fillId="0" borderId="17" xfId="0" applyFont="1" applyBorder="1">
      <alignment vertical="center"/>
    </xf>
    <xf numFmtId="0" fontId="93" fillId="0" borderId="16" xfId="0" applyFont="1" applyBorder="1">
      <alignment vertical="center"/>
    </xf>
    <xf numFmtId="0" fontId="94" fillId="0" borderId="5" xfId="0" applyFont="1" applyBorder="1">
      <alignment vertical="center"/>
    </xf>
    <xf numFmtId="0" fontId="94" fillId="0" borderId="16" xfId="0" applyFont="1" applyBorder="1">
      <alignment vertical="center"/>
    </xf>
    <xf numFmtId="0" fontId="91" fillId="0" borderId="11" xfId="0" applyFont="1" applyBorder="1">
      <alignment vertical="center"/>
    </xf>
    <xf numFmtId="0" fontId="91" fillId="0" borderId="11" xfId="0" applyFont="1" applyBorder="1" applyAlignment="1">
      <alignment vertical="center" wrapText="1"/>
    </xf>
    <xf numFmtId="0" fontId="12" fillId="0" borderId="10" xfId="0" applyFont="1" applyBorder="1" applyAlignment="1">
      <alignment horizontal="center" vertical="center"/>
    </xf>
    <xf numFmtId="0" fontId="90" fillId="0" borderId="0" xfId="0" applyFont="1">
      <alignment vertical="center"/>
    </xf>
    <xf numFmtId="0" fontId="11" fillId="0" borderId="16" xfId="0" applyFont="1" applyBorder="1">
      <alignment vertical="center"/>
    </xf>
    <xf numFmtId="0" fontId="16" fillId="0" borderId="16" xfId="0" applyFont="1" applyBorder="1" applyAlignment="1">
      <alignment vertical="center" wrapText="1"/>
    </xf>
    <xf numFmtId="0" fontId="11" fillId="0" borderId="16" xfId="0" applyFont="1" applyBorder="1" applyAlignment="1">
      <alignment vertical="center" wrapText="1"/>
    </xf>
    <xf numFmtId="0" fontId="46" fillId="0" borderId="5" xfId="0" applyFont="1" applyBorder="1">
      <alignment vertical="center"/>
    </xf>
    <xf numFmtId="0" fontId="16" fillId="0" borderId="10" xfId="0" applyFont="1" applyBorder="1" applyAlignment="1">
      <alignment vertical="center" wrapText="1"/>
    </xf>
    <xf numFmtId="0" fontId="12" fillId="0" borderId="18" xfId="0" applyFont="1" applyBorder="1" applyAlignment="1">
      <alignment horizontal="center" vertical="center"/>
    </xf>
    <xf numFmtId="0" fontId="12" fillId="0" borderId="16" xfId="0" applyFont="1" applyBorder="1" applyAlignment="1">
      <alignment vertical="center" wrapText="1"/>
    </xf>
    <xf numFmtId="0" fontId="12" fillId="0" borderId="11" xfId="0" applyFont="1" applyBorder="1" applyAlignment="1">
      <alignment vertical="center" wrapText="1"/>
    </xf>
    <xf numFmtId="0" fontId="12" fillId="0" borderId="5" xfId="0" applyFont="1" applyBorder="1" applyAlignment="1">
      <alignment horizontal="right" vertical="center"/>
    </xf>
    <xf numFmtId="0" fontId="11" fillId="0" borderId="5" xfId="0" applyFont="1" applyBorder="1" applyAlignment="1">
      <alignment horizontal="center" vertical="center" wrapText="1"/>
    </xf>
    <xf numFmtId="0" fontId="14" fillId="49" borderId="0" xfId="0" applyFont="1" applyFill="1" applyAlignment="1">
      <alignment horizontal="center" vertical="center" wrapText="1"/>
    </xf>
    <xf numFmtId="183" fontId="12" fillId="0" borderId="1" xfId="0" applyNumberFormat="1" applyFont="1" applyBorder="1" applyAlignment="1">
      <alignment horizontal="center" vertical="center"/>
    </xf>
    <xf numFmtId="0" fontId="14" fillId="0" borderId="0" xfId="0" applyFont="1" applyAlignment="1">
      <alignment horizontal="center" vertical="center" wrapText="1"/>
    </xf>
    <xf numFmtId="0" fontId="11" fillId="0" borderId="31" xfId="0" applyFont="1" applyBorder="1">
      <alignment vertical="center"/>
    </xf>
    <xf numFmtId="0" fontId="12" fillId="0" borderId="11" xfId="0" applyFont="1" applyBorder="1">
      <alignment vertical="center"/>
    </xf>
    <xf numFmtId="0" fontId="11" fillId="0" borderId="11" xfId="0" applyFont="1" applyBorder="1">
      <alignment vertical="center"/>
    </xf>
    <xf numFmtId="0" fontId="11" fillId="0" borderId="11" xfId="0" applyFont="1" applyBorder="1" applyAlignment="1">
      <alignment vertical="center" wrapText="1"/>
    </xf>
    <xf numFmtId="0" fontId="16" fillId="0" borderId="11" xfId="0" applyFont="1" applyBorder="1">
      <alignment vertical="center"/>
    </xf>
    <xf numFmtId="0" fontId="16" fillId="0" borderId="16" xfId="0" applyFont="1" applyBorder="1">
      <alignment vertical="center"/>
    </xf>
    <xf numFmtId="176" fontId="12" fillId="0" borderId="5" xfId="0" applyNumberFormat="1" applyFont="1" applyBorder="1" applyAlignment="1">
      <alignment horizontal="center" vertical="center"/>
    </xf>
    <xf numFmtId="0" fontId="23" fillId="0" borderId="9" xfId="0" applyFont="1" applyBorder="1">
      <alignment vertical="center"/>
    </xf>
    <xf numFmtId="0" fontId="14" fillId="0" borderId="79" xfId="0" applyFont="1" applyBorder="1" applyAlignment="1">
      <alignment vertical="center" wrapText="1"/>
    </xf>
    <xf numFmtId="0" fontId="20" fillId="0" borderId="9" xfId="0" applyFont="1" applyBorder="1">
      <alignment vertical="center"/>
    </xf>
    <xf numFmtId="38" fontId="12" fillId="0" borderId="5" xfId="0" applyNumberFormat="1" applyFont="1" applyBorder="1" applyAlignment="1">
      <alignment horizontal="center" vertical="center"/>
    </xf>
    <xf numFmtId="0" fontId="45" fillId="0" borderId="5" xfId="0" applyFont="1" applyBorder="1" applyAlignment="1">
      <alignment vertical="center" wrapText="1"/>
    </xf>
    <xf numFmtId="0" fontId="14" fillId="49" borderId="79" xfId="0" applyFont="1" applyFill="1" applyBorder="1" applyAlignment="1">
      <alignment vertical="center" wrapText="1"/>
    </xf>
    <xf numFmtId="0" fontId="11" fillId="0" borderId="116" xfId="0" applyFont="1" applyBorder="1">
      <alignment vertical="center"/>
    </xf>
    <xf numFmtId="0" fontId="11" fillId="0" borderId="115" xfId="0" applyFont="1" applyBorder="1">
      <alignment vertical="center"/>
    </xf>
    <xf numFmtId="0" fontId="12" fillId="0" borderId="115" xfId="0" applyFont="1" applyBorder="1">
      <alignment vertical="center"/>
    </xf>
    <xf numFmtId="0" fontId="11" fillId="0" borderId="115" xfId="0" applyFont="1" applyBorder="1" applyAlignment="1">
      <alignment vertical="center" wrapText="1"/>
    </xf>
    <xf numFmtId="0" fontId="12" fillId="0" borderId="115" xfId="0" applyFont="1" applyBorder="1" applyAlignment="1">
      <alignment vertical="center" wrapText="1"/>
    </xf>
    <xf numFmtId="0" fontId="12" fillId="0" borderId="115" xfId="0" applyFont="1" applyBorder="1" applyAlignment="1">
      <alignment horizontal="center" vertical="center"/>
    </xf>
    <xf numFmtId="0" fontId="16" fillId="0" borderId="115" xfId="0" applyFont="1" applyBorder="1">
      <alignment vertical="center"/>
    </xf>
    <xf numFmtId="0" fontId="16" fillId="0" borderId="117" xfId="0" applyFont="1" applyBorder="1">
      <alignment vertical="center"/>
    </xf>
    <xf numFmtId="0" fontId="16" fillId="0" borderId="21" xfId="0" applyFont="1" applyBorder="1">
      <alignment vertical="center"/>
    </xf>
    <xf numFmtId="49" fontId="11" fillId="0" borderId="31" xfId="0" applyNumberFormat="1" applyFont="1" applyBorder="1">
      <alignment vertical="center"/>
    </xf>
    <xf numFmtId="49" fontId="11" fillId="0" borderId="5" xfId="0" applyNumberFormat="1" applyFont="1" applyBorder="1">
      <alignment vertical="center"/>
    </xf>
    <xf numFmtId="49" fontId="11" fillId="0" borderId="5" xfId="0" applyNumberFormat="1" applyFont="1" applyBorder="1" applyAlignment="1">
      <alignment horizontal="right" vertical="center" wrapText="1"/>
    </xf>
    <xf numFmtId="0" fontId="11" fillId="0" borderId="5" xfId="0" applyFont="1" applyBorder="1" applyAlignment="1">
      <alignment horizontal="left" vertical="center" wrapText="1"/>
    </xf>
    <xf numFmtId="0" fontId="11" fillId="0" borderId="57" xfId="0" applyFont="1" applyBorder="1">
      <alignment vertical="center"/>
    </xf>
    <xf numFmtId="0" fontId="11" fillId="0" borderId="53" xfId="0" applyFont="1" applyBorder="1">
      <alignment vertical="center"/>
    </xf>
    <xf numFmtId="0" fontId="11" fillId="0" borderId="29" xfId="0" applyFont="1" applyBorder="1">
      <alignment vertical="center"/>
    </xf>
    <xf numFmtId="0" fontId="11" fillId="0" borderId="0" xfId="0" applyFont="1" applyAlignment="1">
      <alignment horizontal="center" vertical="center"/>
    </xf>
    <xf numFmtId="0" fontId="11" fillId="0" borderId="21" xfId="0" applyFont="1" applyBorder="1">
      <alignment vertical="center"/>
    </xf>
    <xf numFmtId="0" fontId="11" fillId="0" borderId="26" xfId="0" applyFont="1" applyBorder="1">
      <alignment vertical="center"/>
    </xf>
    <xf numFmtId="0" fontId="11" fillId="0" borderId="11" xfId="0" applyFont="1" applyBorder="1" applyAlignment="1">
      <alignment horizontal="center" vertical="center"/>
    </xf>
    <xf numFmtId="0" fontId="42" fillId="0" borderId="11" xfId="0" applyFont="1" applyBorder="1">
      <alignment vertical="center"/>
    </xf>
    <xf numFmtId="0" fontId="42" fillId="0" borderId="53" xfId="0" applyFont="1" applyBorder="1">
      <alignment vertical="center"/>
    </xf>
    <xf numFmtId="0" fontId="11" fillId="0" borderId="20" xfId="0" applyFont="1" applyBorder="1">
      <alignment vertical="center"/>
    </xf>
    <xf numFmtId="0" fontId="42" fillId="0" borderId="5" xfId="0" applyFont="1" applyBorder="1">
      <alignment vertical="center"/>
    </xf>
    <xf numFmtId="176" fontId="74" fillId="0" borderId="0" xfId="0" applyNumberFormat="1" applyFont="1" applyAlignment="1">
      <alignment horizontal="center" vertical="center"/>
    </xf>
    <xf numFmtId="0" fontId="11" fillId="0" borderId="0" xfId="0" applyFont="1" applyAlignment="1">
      <alignment horizontal="left" vertical="center"/>
    </xf>
    <xf numFmtId="0" fontId="11" fillId="0" borderId="19" xfId="0" applyFont="1" applyBorder="1">
      <alignment vertical="center"/>
    </xf>
    <xf numFmtId="0" fontId="11" fillId="0" borderId="30" xfId="0" applyFont="1" applyBorder="1" applyAlignment="1">
      <alignment horizontal="center" vertical="center"/>
    </xf>
    <xf numFmtId="0" fontId="11" fillId="0" borderId="49" xfId="0" applyFont="1" applyBorder="1" applyAlignment="1">
      <alignment horizontal="center" vertical="center"/>
    </xf>
    <xf numFmtId="0" fontId="11" fillId="0" borderId="20" xfId="0" applyFont="1" applyBorder="1" applyAlignment="1">
      <alignment horizontal="left" vertical="center"/>
    </xf>
    <xf numFmtId="0" fontId="11" fillId="0" borderId="25" xfId="0" applyFont="1" applyBorder="1" applyAlignment="1">
      <alignment horizontal="left" vertical="center"/>
    </xf>
    <xf numFmtId="0" fontId="11" fillId="0" borderId="30" xfId="0" applyFont="1" applyBorder="1" applyAlignment="1">
      <alignment horizontal="center" vertical="center" wrapText="1"/>
    </xf>
    <xf numFmtId="176" fontId="42" fillId="0" borderId="0" xfId="0" applyNumberFormat="1" applyFont="1" applyAlignment="1">
      <alignment horizontal="center" vertical="center"/>
    </xf>
    <xf numFmtId="0" fontId="11" fillId="0" borderId="53" xfId="0" applyFont="1" applyBorder="1" applyAlignment="1">
      <alignment horizontal="left" vertical="center"/>
    </xf>
    <xf numFmtId="0" fontId="11" fillId="0" borderId="26" xfId="0" applyFont="1" applyBorder="1" applyAlignment="1">
      <alignment horizontal="left" vertical="center"/>
    </xf>
    <xf numFmtId="0" fontId="74" fillId="0" borderId="0" xfId="0" applyFont="1">
      <alignment vertical="center"/>
    </xf>
    <xf numFmtId="0" fontId="16" fillId="0" borderId="22" xfId="0" applyFont="1" applyBorder="1">
      <alignment vertical="center"/>
    </xf>
    <xf numFmtId="176" fontId="74" fillId="0" borderId="5" xfId="0" applyNumberFormat="1" applyFont="1" applyBorder="1" applyAlignment="1">
      <alignment horizontal="center" vertical="center"/>
    </xf>
    <xf numFmtId="176" fontId="42" fillId="0" borderId="11" xfId="0" applyNumberFormat="1" applyFont="1" applyBorder="1" applyAlignment="1">
      <alignment horizontal="center" vertical="center"/>
    </xf>
    <xf numFmtId="0" fontId="11" fillId="0" borderId="25" xfId="0" applyFont="1" applyBorder="1">
      <alignment vertical="center"/>
    </xf>
    <xf numFmtId="176" fontId="42" fillId="0" borderId="10" xfId="0" applyNumberFormat="1" applyFont="1" applyBorder="1" applyAlignment="1">
      <alignment horizontal="center" vertical="center"/>
    </xf>
    <xf numFmtId="49" fontId="11" fillId="0" borderId="8" xfId="0" applyNumberFormat="1" applyFont="1" applyBorder="1">
      <alignment vertical="center"/>
    </xf>
    <xf numFmtId="0" fontId="50" fillId="18" borderId="1" xfId="0" applyFont="1" applyFill="1" applyBorder="1" applyAlignment="1" applyProtection="1">
      <alignment horizontal="center" vertical="center"/>
      <protection locked="0"/>
    </xf>
    <xf numFmtId="0" fontId="0" fillId="23" borderId="1" xfId="0" applyFill="1" applyBorder="1" applyAlignment="1">
      <alignment horizontal="center" vertical="center"/>
    </xf>
    <xf numFmtId="0" fontId="0" fillId="23" borderId="0" xfId="0" applyFill="1" applyAlignment="1">
      <alignment horizontal="center" vertical="center" wrapText="1"/>
    </xf>
    <xf numFmtId="0" fontId="43" fillId="23" borderId="0" xfId="0" applyFont="1" applyFill="1">
      <alignment vertical="center"/>
    </xf>
    <xf numFmtId="0" fontId="17" fillId="23" borderId="0" xfId="0" applyFont="1" applyFill="1" applyAlignment="1">
      <alignment horizontal="center" vertical="center"/>
    </xf>
    <xf numFmtId="0" fontId="0" fillId="23" borderId="0" xfId="0" applyFill="1" applyAlignment="1">
      <alignment horizontal="left" vertical="center"/>
    </xf>
    <xf numFmtId="0" fontId="0" fillId="23" borderId="0" xfId="0" applyFill="1" applyAlignment="1">
      <alignment horizontal="center" vertical="center"/>
    </xf>
    <xf numFmtId="0" fontId="0" fillId="23" borderId="13" xfId="0" applyFill="1" applyBorder="1" applyAlignment="1">
      <alignment horizontal="left" vertical="center"/>
    </xf>
    <xf numFmtId="0" fontId="0" fillId="23" borderId="13" xfId="0" applyFill="1" applyBorder="1" applyAlignment="1">
      <alignment horizontal="center" vertical="center"/>
    </xf>
    <xf numFmtId="0" fontId="0" fillId="23" borderId="58" xfId="0" applyFill="1" applyBorder="1" applyAlignment="1">
      <alignment horizontal="center" vertical="center"/>
    </xf>
    <xf numFmtId="0" fontId="0" fillId="23" borderId="1" xfId="0" applyFill="1" applyBorder="1" applyAlignment="1">
      <alignment horizontal="left" vertical="center" wrapText="1"/>
    </xf>
    <xf numFmtId="0" fontId="77" fillId="23" borderId="0" xfId="0" applyFont="1" applyFill="1">
      <alignment vertical="center"/>
    </xf>
    <xf numFmtId="0" fontId="40" fillId="23" borderId="0" xfId="0" applyFont="1" applyFill="1" applyAlignment="1">
      <alignment horizontal="center" vertical="center" wrapText="1"/>
    </xf>
    <xf numFmtId="0" fontId="77" fillId="47" borderId="0" xfId="0" applyFont="1" applyFill="1" applyAlignment="1">
      <alignment horizontal="left" vertical="center"/>
    </xf>
    <xf numFmtId="0" fontId="0" fillId="47" borderId="0" xfId="0" quotePrefix="1" applyFill="1" applyAlignment="1">
      <alignment horizontal="center" vertical="center"/>
    </xf>
    <xf numFmtId="0" fontId="77" fillId="47" borderId="185" xfId="0" applyFont="1" applyFill="1" applyBorder="1" applyAlignment="1">
      <alignment vertical="center" wrapText="1"/>
    </xf>
    <xf numFmtId="0" fontId="77" fillId="47" borderId="0" xfId="0" applyFont="1" applyFill="1" applyAlignment="1">
      <alignment horizontal="center" vertical="center" wrapText="1"/>
    </xf>
    <xf numFmtId="0" fontId="77" fillId="47" borderId="185" xfId="0" applyFont="1" applyFill="1" applyBorder="1" applyAlignment="1">
      <alignment horizontal="center" vertical="center" wrapText="1"/>
    </xf>
    <xf numFmtId="0" fontId="77" fillId="47" borderId="21" xfId="0" applyFont="1" applyFill="1" applyBorder="1" applyAlignment="1">
      <alignment horizontal="center" vertical="center" wrapText="1"/>
    </xf>
    <xf numFmtId="0" fontId="0" fillId="23" borderId="197" xfId="0" applyFill="1" applyBorder="1" applyAlignment="1">
      <alignment horizontal="left" vertical="center"/>
    </xf>
    <xf numFmtId="0" fontId="0" fillId="23" borderId="198" xfId="0" applyFill="1" applyBorder="1" applyAlignment="1">
      <alignment horizontal="left" vertical="center"/>
    </xf>
    <xf numFmtId="0" fontId="17" fillId="23" borderId="131" xfId="0" applyFont="1" applyFill="1" applyBorder="1" applyAlignment="1">
      <alignment horizontal="center" vertical="center"/>
    </xf>
    <xf numFmtId="0" fontId="0" fillId="23" borderId="91" xfId="0" quotePrefix="1" applyFill="1" applyBorder="1" applyAlignment="1">
      <alignment horizontal="center" vertical="center"/>
    </xf>
    <xf numFmtId="0" fontId="0" fillId="23" borderId="139" xfId="0" applyFill="1" applyBorder="1" applyAlignment="1">
      <alignment horizontal="center" vertical="center"/>
    </xf>
    <xf numFmtId="0" fontId="0" fillId="23" borderId="148" xfId="0" applyFill="1" applyBorder="1" applyAlignment="1">
      <alignment vertical="center" wrapText="1"/>
    </xf>
    <xf numFmtId="0" fontId="0" fillId="23" borderId="148" xfId="0" applyFill="1" applyBorder="1" applyAlignment="1">
      <alignment horizontal="center" vertical="center" wrapText="1"/>
    </xf>
    <xf numFmtId="0" fontId="0" fillId="23" borderId="148" xfId="0" applyFill="1" applyBorder="1" applyAlignment="1">
      <alignment horizontal="left" vertical="center" wrapText="1"/>
    </xf>
    <xf numFmtId="0" fontId="0" fillId="23" borderId="91" xfId="0" applyFill="1" applyBorder="1" applyAlignment="1">
      <alignment horizontal="center" vertical="center"/>
    </xf>
    <xf numFmtId="0" fontId="0" fillId="23" borderId="166" xfId="0" applyFill="1" applyBorder="1" applyAlignment="1">
      <alignment horizontal="center" vertical="center" wrapText="1"/>
    </xf>
    <xf numFmtId="0" fontId="0" fillId="23" borderId="154" xfId="0" applyFill="1" applyBorder="1" applyAlignment="1">
      <alignment vertical="center" wrapText="1"/>
    </xf>
    <xf numFmtId="0" fontId="0" fillId="23" borderId="154" xfId="0" applyFill="1" applyBorder="1" applyAlignment="1">
      <alignment horizontal="center" vertical="center" wrapText="1"/>
    </xf>
    <xf numFmtId="0" fontId="0" fillId="23" borderId="154" xfId="0" applyFill="1" applyBorder="1" applyAlignment="1">
      <alignment horizontal="left" vertical="center" wrapText="1"/>
    </xf>
    <xf numFmtId="0" fontId="0" fillId="23" borderId="142" xfId="0" applyFill="1" applyBorder="1" applyAlignment="1">
      <alignment horizontal="center" vertical="center"/>
    </xf>
    <xf numFmtId="0" fontId="0" fillId="23" borderId="150" xfId="0" applyFill="1" applyBorder="1" applyAlignment="1">
      <alignment vertical="center" wrapText="1"/>
    </xf>
    <xf numFmtId="0" fontId="0" fillId="23" borderId="150" xfId="0" applyFill="1" applyBorder="1" applyAlignment="1">
      <alignment horizontal="center" vertical="center" wrapText="1"/>
    </xf>
    <xf numFmtId="0" fontId="0" fillId="23" borderId="150" xfId="0" applyFill="1" applyBorder="1" applyAlignment="1">
      <alignment horizontal="left" vertical="center" wrapText="1"/>
    </xf>
    <xf numFmtId="0" fontId="0" fillId="23" borderId="143" xfId="0" applyFill="1" applyBorder="1" applyAlignment="1">
      <alignment horizontal="center" vertical="center"/>
    </xf>
    <xf numFmtId="0" fontId="0" fillId="23" borderId="141" xfId="0" applyFill="1" applyBorder="1" applyAlignment="1">
      <alignment vertical="center" wrapText="1"/>
    </xf>
    <xf numFmtId="0" fontId="0" fillId="23" borderId="141" xfId="0" applyFill="1" applyBorder="1" applyAlignment="1">
      <alignment horizontal="center" vertical="center" wrapText="1"/>
    </xf>
    <xf numFmtId="0" fontId="0" fillId="23" borderId="141" xfId="0" applyFill="1" applyBorder="1" applyAlignment="1">
      <alignment horizontal="left" vertical="center" wrapText="1"/>
    </xf>
    <xf numFmtId="0" fontId="0" fillId="49" borderId="0" xfId="0" applyFill="1">
      <alignment vertical="center"/>
    </xf>
    <xf numFmtId="0" fontId="0" fillId="53" borderId="0" xfId="0" applyFill="1">
      <alignment vertical="center"/>
    </xf>
    <xf numFmtId="0" fontId="0" fillId="23" borderId="144" xfId="0" applyFill="1" applyBorder="1" applyAlignment="1">
      <alignment horizontal="center" vertical="center"/>
    </xf>
    <xf numFmtId="0" fontId="0" fillId="23" borderId="145" xfId="0" applyFill="1" applyBorder="1" applyAlignment="1">
      <alignment horizontal="center" vertical="center"/>
    </xf>
    <xf numFmtId="0" fontId="0" fillId="23" borderId="140" xfId="0" applyFill="1" applyBorder="1" applyAlignment="1">
      <alignment horizontal="center" vertical="center"/>
    </xf>
    <xf numFmtId="0" fontId="0" fillId="23" borderId="132" xfId="0" applyFill="1" applyBorder="1" applyAlignment="1">
      <alignment horizontal="center" vertical="center"/>
    </xf>
    <xf numFmtId="0" fontId="0" fillId="23" borderId="133" xfId="0" applyFill="1" applyBorder="1" applyAlignment="1">
      <alignment horizontal="center" vertical="center"/>
    </xf>
    <xf numFmtId="0" fontId="0" fillId="23" borderId="131" xfId="0" applyFill="1" applyBorder="1" applyAlignment="1">
      <alignment horizontal="center" vertical="center" wrapText="1"/>
    </xf>
    <xf numFmtId="0" fontId="0" fillId="23" borderId="131" xfId="0" applyFill="1" applyBorder="1" applyAlignment="1">
      <alignment horizontal="left" vertical="center" wrapText="1"/>
    </xf>
    <xf numFmtId="0" fontId="0" fillId="23" borderId="160" xfId="0" applyFill="1" applyBorder="1" applyAlignment="1">
      <alignment horizontal="right" vertical="center" wrapText="1"/>
    </xf>
    <xf numFmtId="0" fontId="0" fillId="23" borderId="160" xfId="0" applyFill="1" applyBorder="1" applyAlignment="1">
      <alignment horizontal="center" vertical="center" wrapText="1"/>
    </xf>
    <xf numFmtId="0" fontId="0" fillId="23" borderId="160" xfId="0" applyFill="1" applyBorder="1" applyAlignment="1">
      <alignment horizontal="left" vertical="center" wrapText="1"/>
    </xf>
    <xf numFmtId="0" fontId="0" fillId="23" borderId="180" xfId="0" applyFill="1" applyBorder="1" applyAlignment="1">
      <alignment vertical="center" wrapText="1"/>
    </xf>
    <xf numFmtId="0" fontId="0" fillId="23" borderId="180" xfId="0" applyFill="1" applyBorder="1" applyAlignment="1">
      <alignment horizontal="center" vertical="center" wrapText="1"/>
    </xf>
    <xf numFmtId="0" fontId="0" fillId="23" borderId="180" xfId="0" applyFill="1" applyBorder="1" applyAlignment="1">
      <alignment horizontal="left" vertical="center" wrapText="1"/>
    </xf>
    <xf numFmtId="0" fontId="0" fillId="23" borderId="43" xfId="0" applyFill="1" applyBorder="1" applyAlignment="1">
      <alignment horizontal="right" vertical="center" wrapText="1"/>
    </xf>
    <xf numFmtId="0" fontId="0" fillId="23" borderId="182" xfId="0" applyFill="1" applyBorder="1" applyAlignment="1">
      <alignment horizontal="center" vertical="center" wrapText="1"/>
    </xf>
    <xf numFmtId="0" fontId="0" fillId="23" borderId="43" xfId="0" applyFill="1" applyBorder="1" applyAlignment="1">
      <alignment horizontal="left" vertical="center" wrapText="1"/>
    </xf>
    <xf numFmtId="0" fontId="0" fillId="23" borderId="159" xfId="0" applyFill="1" applyBorder="1" applyAlignment="1">
      <alignment horizontal="right" vertical="center" wrapText="1"/>
    </xf>
    <xf numFmtId="0" fontId="0" fillId="23" borderId="8" xfId="0" applyFill="1" applyBorder="1" applyAlignment="1">
      <alignment horizontal="center" vertical="center" wrapText="1"/>
    </xf>
    <xf numFmtId="0" fontId="0" fillId="23" borderId="159" xfId="0" applyFill="1" applyBorder="1" applyAlignment="1">
      <alignment horizontal="left" vertical="center" wrapText="1"/>
    </xf>
    <xf numFmtId="0" fontId="0" fillId="23" borderId="159" xfId="0" applyFill="1" applyBorder="1" applyAlignment="1">
      <alignment horizontal="center" vertical="center" wrapText="1"/>
    </xf>
    <xf numFmtId="0" fontId="0" fillId="23" borderId="171" xfId="0" applyFill="1" applyBorder="1" applyAlignment="1">
      <alignment horizontal="right" vertical="center" wrapText="1"/>
    </xf>
    <xf numFmtId="0" fontId="0" fillId="23" borderId="171" xfId="0" applyFill="1" applyBorder="1" applyAlignment="1">
      <alignment horizontal="center" vertical="center" wrapText="1"/>
    </xf>
    <xf numFmtId="0" fontId="0" fillId="23" borderId="171" xfId="0" applyFill="1" applyBorder="1" applyAlignment="1">
      <alignment horizontal="left" vertical="center" wrapText="1"/>
    </xf>
    <xf numFmtId="0" fontId="0" fillId="23" borderId="194" xfId="0" applyFill="1" applyBorder="1" applyAlignment="1">
      <alignment horizontal="center" vertical="center" wrapText="1"/>
    </xf>
    <xf numFmtId="0" fontId="0" fillId="23" borderId="211" xfId="0" applyFill="1" applyBorder="1" applyAlignment="1">
      <alignment horizontal="left" vertical="center" wrapText="1"/>
    </xf>
    <xf numFmtId="0" fontId="0" fillId="23" borderId="43" xfId="0" applyFill="1" applyBorder="1" applyAlignment="1">
      <alignment vertical="center" wrapText="1"/>
    </xf>
    <xf numFmtId="0" fontId="0" fillId="23" borderId="43" xfId="0" applyFill="1" applyBorder="1" applyAlignment="1">
      <alignment horizontal="center" vertical="center" wrapText="1"/>
    </xf>
    <xf numFmtId="0" fontId="0" fillId="23" borderId="147" xfId="0" applyFill="1" applyBorder="1" applyAlignment="1">
      <alignment horizontal="center" vertical="center"/>
    </xf>
    <xf numFmtId="0" fontId="0" fillId="23" borderId="151" xfId="0" applyFill="1" applyBorder="1" applyAlignment="1">
      <alignment vertical="center" wrapText="1"/>
    </xf>
    <xf numFmtId="0" fontId="0" fillId="23" borderId="151" xfId="0" applyFill="1" applyBorder="1" applyAlignment="1">
      <alignment horizontal="center" vertical="center" wrapText="1"/>
    </xf>
    <xf numFmtId="0" fontId="0" fillId="23" borderId="151" xfId="0" applyFill="1" applyBorder="1" applyAlignment="1">
      <alignment horizontal="left" vertical="center" wrapText="1"/>
    </xf>
    <xf numFmtId="0" fontId="0" fillId="23" borderId="149" xfId="0" applyFill="1" applyBorder="1" applyAlignment="1">
      <alignment vertical="center" wrapText="1"/>
    </xf>
    <xf numFmtId="0" fontId="0" fillId="23" borderId="149" xfId="0" applyFill="1" applyBorder="1" applyAlignment="1">
      <alignment horizontal="center" vertical="center" wrapText="1"/>
    </xf>
    <xf numFmtId="0" fontId="0" fillId="23" borderId="149" xfId="0" applyFill="1" applyBorder="1" applyAlignment="1">
      <alignment horizontal="left" vertical="center" wrapText="1"/>
    </xf>
    <xf numFmtId="0" fontId="0" fillId="23" borderId="152" xfId="0" applyFill="1" applyBorder="1" applyAlignment="1">
      <alignment vertical="center" wrapText="1"/>
    </xf>
    <xf numFmtId="0" fontId="0" fillId="23" borderId="152" xfId="0" applyFill="1" applyBorder="1" applyAlignment="1">
      <alignment horizontal="center" vertical="center" wrapText="1"/>
    </xf>
    <xf numFmtId="0" fontId="0" fillId="23" borderId="152" xfId="0" applyFill="1" applyBorder="1" applyAlignment="1">
      <alignment horizontal="left" vertical="center" wrapText="1"/>
    </xf>
    <xf numFmtId="0" fontId="0" fillId="23" borderId="146" xfId="0" applyFill="1" applyBorder="1" applyAlignment="1">
      <alignment horizontal="center" vertical="center"/>
    </xf>
    <xf numFmtId="0" fontId="0" fillId="23" borderId="161" xfId="0" applyFill="1" applyBorder="1" applyAlignment="1">
      <alignment horizontal="center" vertical="center" wrapText="1"/>
    </xf>
    <xf numFmtId="0" fontId="0" fillId="23" borderId="164" xfId="0" applyFill="1" applyBorder="1" applyAlignment="1">
      <alignment horizontal="right" vertical="center" wrapText="1"/>
    </xf>
    <xf numFmtId="0" fontId="0" fillId="23" borderId="122" xfId="0" applyFill="1" applyBorder="1" applyAlignment="1">
      <alignment horizontal="center" vertical="center" wrapText="1"/>
    </xf>
    <xf numFmtId="0" fontId="0" fillId="23" borderId="163" xfId="0" applyFill="1" applyBorder="1" applyAlignment="1">
      <alignment horizontal="right" vertical="center" wrapText="1"/>
    </xf>
    <xf numFmtId="0" fontId="0" fillId="23" borderId="165" xfId="0" applyFill="1" applyBorder="1" applyAlignment="1">
      <alignment horizontal="center" vertical="center" wrapText="1"/>
    </xf>
    <xf numFmtId="0" fontId="0" fillId="23" borderId="170" xfId="0" applyFill="1" applyBorder="1" applyAlignment="1">
      <alignment horizontal="left" vertical="center" wrapText="1"/>
    </xf>
    <xf numFmtId="0" fontId="0" fillId="23" borderId="162" xfId="0" applyFill="1" applyBorder="1" applyAlignment="1">
      <alignment horizontal="center" vertical="center" wrapText="1"/>
    </xf>
    <xf numFmtId="0" fontId="0" fillId="23" borderId="196" xfId="0" applyFill="1" applyBorder="1" applyAlignment="1">
      <alignment horizontal="left" vertical="center" wrapText="1"/>
    </xf>
    <xf numFmtId="0" fontId="0" fillId="23" borderId="164" xfId="0" applyFill="1" applyBorder="1" applyAlignment="1">
      <alignment vertical="center" wrapText="1"/>
    </xf>
    <xf numFmtId="0" fontId="0" fillId="23" borderId="178" xfId="0" applyFill="1" applyBorder="1" applyAlignment="1">
      <alignment horizontal="center" vertical="center" wrapText="1"/>
    </xf>
    <xf numFmtId="0" fontId="0" fillId="23" borderId="164" xfId="0" applyFill="1" applyBorder="1" applyAlignment="1">
      <alignment horizontal="left" vertical="center" wrapText="1"/>
    </xf>
    <xf numFmtId="0" fontId="0" fillId="23" borderId="179" xfId="0" applyFill="1" applyBorder="1" applyAlignment="1">
      <alignment vertical="center" wrapText="1"/>
    </xf>
    <xf numFmtId="0" fontId="0" fillId="23" borderId="177" xfId="0" applyFill="1" applyBorder="1" applyAlignment="1">
      <alignment horizontal="center" vertical="center" wrapText="1"/>
    </xf>
    <xf numFmtId="0" fontId="0" fillId="23" borderId="179" xfId="0" applyFill="1" applyBorder="1" applyAlignment="1">
      <alignment horizontal="left" vertical="center" wrapText="1"/>
    </xf>
    <xf numFmtId="0" fontId="0" fillId="23" borderId="211" xfId="0" applyFill="1" applyBorder="1" applyAlignment="1">
      <alignment vertical="center" wrapText="1"/>
    </xf>
    <xf numFmtId="0" fontId="0" fillId="23" borderId="211" xfId="0" applyFill="1" applyBorder="1" applyAlignment="1">
      <alignment horizontal="center" vertical="center" wrapText="1"/>
    </xf>
    <xf numFmtId="0" fontId="0" fillId="23" borderId="167" xfId="0" applyFill="1" applyBorder="1" applyAlignment="1">
      <alignment horizontal="center" vertical="center" wrapText="1"/>
    </xf>
    <xf numFmtId="0" fontId="0" fillId="23" borderId="21" xfId="0" applyFill="1" applyBorder="1" applyAlignment="1">
      <alignment horizontal="right" vertical="center" wrapText="1"/>
    </xf>
    <xf numFmtId="0" fontId="0" fillId="23" borderId="21" xfId="0" applyFill="1" applyBorder="1" applyAlignment="1">
      <alignment horizontal="center" vertical="center" wrapText="1"/>
    </xf>
    <xf numFmtId="0" fontId="0" fillId="23" borderId="21" xfId="0" applyFill="1" applyBorder="1" applyAlignment="1">
      <alignment horizontal="left" vertical="center" wrapText="1"/>
    </xf>
    <xf numFmtId="3" fontId="0" fillId="53" borderId="0" xfId="0" applyNumberFormat="1" applyFill="1">
      <alignment vertical="center"/>
    </xf>
    <xf numFmtId="0" fontId="0" fillId="23" borderId="174" xfId="0" applyFill="1" applyBorder="1" applyAlignment="1">
      <alignment vertical="center" wrapText="1"/>
    </xf>
    <xf numFmtId="0" fontId="0" fillId="23" borderId="176" xfId="0" applyFill="1" applyBorder="1" applyAlignment="1">
      <alignment horizontal="center" vertical="center" wrapText="1"/>
    </xf>
    <xf numFmtId="0" fontId="0" fillId="23" borderId="174" xfId="0" applyFill="1" applyBorder="1" applyAlignment="1">
      <alignment horizontal="left" vertical="center" wrapText="1"/>
    </xf>
    <xf numFmtId="0" fontId="0" fillId="23" borderId="173" xfId="0" applyFill="1" applyBorder="1" applyAlignment="1">
      <alignment horizontal="center" vertical="center" wrapText="1"/>
    </xf>
    <xf numFmtId="0" fontId="0" fillId="23" borderId="168" xfId="0" applyFill="1" applyBorder="1" applyAlignment="1">
      <alignment horizontal="center" vertical="center" wrapText="1"/>
    </xf>
    <xf numFmtId="0" fontId="0" fillId="23" borderId="21" xfId="0" applyFill="1" applyBorder="1" applyAlignment="1">
      <alignment horizontal="center" vertical="center"/>
    </xf>
    <xf numFmtId="0" fontId="0" fillId="23" borderId="211" xfId="0" applyFill="1" applyBorder="1" applyAlignment="1">
      <alignment horizontal="right" vertical="center" wrapText="1"/>
    </xf>
    <xf numFmtId="0" fontId="0" fillId="23" borderId="148" xfId="0" applyFill="1" applyBorder="1" applyAlignment="1">
      <alignment horizontal="right" vertical="center" wrapText="1"/>
    </xf>
    <xf numFmtId="0" fontId="0" fillId="23" borderId="174" xfId="0" applyFill="1" applyBorder="1" applyAlignment="1">
      <alignment horizontal="right" vertical="center" wrapText="1"/>
    </xf>
    <xf numFmtId="0" fontId="0" fillId="23" borderId="174" xfId="0" applyFill="1" applyBorder="1" applyAlignment="1">
      <alignment horizontal="center" vertical="center" wrapText="1"/>
    </xf>
    <xf numFmtId="0" fontId="0" fillId="23" borderId="183" xfId="0" applyFill="1" applyBorder="1" applyAlignment="1">
      <alignment horizontal="right" vertical="center" wrapText="1"/>
    </xf>
    <xf numFmtId="0" fontId="0" fillId="23" borderId="183" xfId="0" applyFill="1" applyBorder="1" applyAlignment="1">
      <alignment horizontal="center" vertical="center" wrapText="1"/>
    </xf>
    <xf numFmtId="0" fontId="0" fillId="23" borderId="183" xfId="0" applyFill="1" applyBorder="1" applyAlignment="1">
      <alignment horizontal="left" vertical="center" wrapText="1"/>
    </xf>
    <xf numFmtId="0" fontId="0" fillId="23" borderId="149" xfId="0" applyFill="1" applyBorder="1" applyAlignment="1">
      <alignment horizontal="right" vertical="center" wrapText="1"/>
    </xf>
    <xf numFmtId="0" fontId="0" fillId="46" borderId="0" xfId="0" applyFill="1" applyAlignment="1">
      <alignment horizontal="center" vertical="center"/>
    </xf>
    <xf numFmtId="0" fontId="0" fillId="46" borderId="132" xfId="0" applyFill="1" applyBorder="1" applyAlignment="1">
      <alignment horizontal="center" vertical="center"/>
    </xf>
    <xf numFmtId="0" fontId="0" fillId="46" borderId="133" xfId="0" applyFill="1" applyBorder="1" applyAlignment="1">
      <alignment horizontal="center" vertical="center"/>
    </xf>
    <xf numFmtId="0" fontId="56" fillId="23" borderId="211" xfId="0" applyFont="1" applyFill="1" applyBorder="1" applyAlignment="1">
      <alignment horizontal="left" vertical="center" wrapText="1"/>
    </xf>
    <xf numFmtId="0" fontId="0" fillId="23" borderId="31" xfId="0" applyFill="1" applyBorder="1" applyAlignment="1">
      <alignment horizontal="center" vertical="center"/>
    </xf>
    <xf numFmtId="0" fontId="0" fillId="23" borderId="11" xfId="0" applyFill="1" applyBorder="1" applyAlignment="1">
      <alignment horizontal="center" vertical="center"/>
    </xf>
    <xf numFmtId="0" fontId="0" fillId="46" borderId="91" xfId="0" applyFill="1" applyBorder="1" applyAlignment="1">
      <alignment horizontal="center" vertical="center"/>
    </xf>
    <xf numFmtId="0" fontId="0" fillId="46" borderId="139" xfId="0" applyFill="1" applyBorder="1" applyAlignment="1">
      <alignment horizontal="center" vertical="center"/>
    </xf>
    <xf numFmtId="0" fontId="0" fillId="44" borderId="0" xfId="0" applyFill="1" applyAlignment="1">
      <alignment horizontal="center" vertical="center"/>
    </xf>
    <xf numFmtId="0" fontId="0" fillId="23" borderId="169" xfId="0" applyFill="1" applyBorder="1" applyAlignment="1">
      <alignment vertical="center" wrapText="1"/>
    </xf>
    <xf numFmtId="0" fontId="0" fillId="23" borderId="169" xfId="0" applyFill="1" applyBorder="1" applyAlignment="1">
      <alignment horizontal="center" vertical="center" wrapText="1"/>
    </xf>
    <xf numFmtId="0" fontId="0" fillId="23" borderId="169" xfId="0" applyFill="1" applyBorder="1" applyAlignment="1">
      <alignment horizontal="left" vertical="center" wrapText="1"/>
    </xf>
    <xf numFmtId="0" fontId="0" fillId="23" borderId="170" xfId="0" applyFill="1" applyBorder="1" applyAlignment="1">
      <alignment horizontal="right" vertical="center" wrapText="1"/>
    </xf>
    <xf numFmtId="0" fontId="0" fillId="23" borderId="170" xfId="0" applyFill="1" applyBorder="1" applyAlignment="1">
      <alignment horizontal="center" vertical="center" wrapText="1"/>
    </xf>
    <xf numFmtId="182" fontId="0" fillId="23" borderId="1" xfId="22" applyNumberFormat="1" applyFont="1" applyFill="1" applyBorder="1" applyAlignment="1" applyProtection="1">
      <alignment horizontal="center" vertical="center" wrapText="1"/>
    </xf>
    <xf numFmtId="0" fontId="0" fillId="44" borderId="132" xfId="0" applyFill="1" applyBorder="1" applyAlignment="1">
      <alignment horizontal="center" vertical="center"/>
    </xf>
    <xf numFmtId="0" fontId="0" fillId="44" borderId="133" xfId="0" applyFill="1" applyBorder="1" applyAlignment="1">
      <alignment horizontal="center" vertical="center"/>
    </xf>
    <xf numFmtId="0" fontId="0" fillId="44" borderId="21" xfId="0" applyFill="1" applyBorder="1" applyAlignment="1">
      <alignment horizontal="center" vertical="center"/>
    </xf>
    <xf numFmtId="0" fontId="0" fillId="44" borderId="91" xfId="0" applyFill="1" applyBorder="1" applyAlignment="1">
      <alignment horizontal="center" vertical="center"/>
    </xf>
    <xf numFmtId="0" fontId="0" fillId="44" borderId="139" xfId="0" applyFill="1" applyBorder="1" applyAlignment="1">
      <alignment horizontal="center" vertical="center"/>
    </xf>
    <xf numFmtId="0" fontId="0" fillId="44" borderId="140" xfId="0" applyFill="1" applyBorder="1" applyAlignment="1">
      <alignment horizontal="center" vertical="center"/>
    </xf>
    <xf numFmtId="0" fontId="0" fillId="23" borderId="172" xfId="0" applyFill="1" applyBorder="1" applyAlignment="1">
      <alignment horizontal="left" vertical="center" wrapText="1"/>
    </xf>
    <xf numFmtId="0" fontId="0" fillId="46" borderId="140" xfId="0" applyFill="1" applyBorder="1" applyAlignment="1">
      <alignment horizontal="center" vertical="center"/>
    </xf>
    <xf numFmtId="0" fontId="0" fillId="0" borderId="149" xfId="0" applyBorder="1" applyAlignment="1">
      <alignment horizontal="center" vertical="center" wrapText="1"/>
    </xf>
    <xf numFmtId="0" fontId="0" fillId="0" borderId="174" xfId="0" applyBorder="1" applyAlignment="1">
      <alignment horizontal="center" vertical="center" wrapText="1"/>
    </xf>
    <xf numFmtId="0" fontId="0" fillId="0" borderId="170" xfId="0" applyBorder="1" applyAlignment="1">
      <alignment horizontal="center" vertical="center" wrapText="1"/>
    </xf>
    <xf numFmtId="0" fontId="0" fillId="0" borderId="43" xfId="0" applyBorder="1" applyAlignment="1">
      <alignment horizontal="center" vertical="center" wrapText="1"/>
    </xf>
    <xf numFmtId="0" fontId="0" fillId="0" borderId="148" xfId="0" applyBorder="1" applyAlignment="1">
      <alignment horizontal="center" vertical="center" wrapText="1"/>
    </xf>
    <xf numFmtId="0" fontId="0" fillId="0" borderId="131" xfId="0" applyBorder="1" applyAlignment="1">
      <alignment horizontal="center" vertical="center" wrapText="1"/>
    </xf>
    <xf numFmtId="0" fontId="0" fillId="0" borderId="171" xfId="0" quotePrefix="1" applyBorder="1" applyAlignment="1">
      <alignment horizontal="center" vertical="center" wrapText="1"/>
    </xf>
    <xf numFmtId="0" fontId="0" fillId="23" borderId="170" xfId="0" quotePrefix="1" applyFill="1" applyBorder="1" applyAlignment="1">
      <alignment horizontal="left" vertical="center" wrapText="1"/>
    </xf>
    <xf numFmtId="0" fontId="0" fillId="0" borderId="211" xfId="0" applyBorder="1" applyAlignment="1">
      <alignment horizontal="center" vertical="center" wrapText="1"/>
    </xf>
    <xf numFmtId="0" fontId="0" fillId="23" borderId="169" xfId="0" applyFill="1" applyBorder="1" applyAlignment="1">
      <alignment horizontal="right" vertical="center" wrapText="1"/>
    </xf>
    <xf numFmtId="0" fontId="0" fillId="0" borderId="169" xfId="0" applyBorder="1" applyAlignment="1">
      <alignment horizontal="center" vertical="center" wrapText="1"/>
    </xf>
    <xf numFmtId="0" fontId="0" fillId="23" borderId="171" xfId="0" quotePrefix="1" applyFill="1" applyBorder="1" applyAlignment="1">
      <alignment horizontal="left" vertical="center" wrapText="1"/>
    </xf>
    <xf numFmtId="0" fontId="0" fillId="23" borderId="172" xfId="0" applyFill="1" applyBorder="1" applyAlignment="1">
      <alignment horizontal="right" vertical="center" wrapText="1"/>
    </xf>
    <xf numFmtId="0" fontId="0" fillId="23" borderId="172" xfId="0" applyFill="1" applyBorder="1" applyAlignment="1">
      <alignment horizontal="center" vertical="center" wrapText="1"/>
    </xf>
    <xf numFmtId="0" fontId="0" fillId="23" borderId="24" xfId="0" applyFill="1" applyBorder="1" applyAlignment="1">
      <alignment horizontal="center" vertical="center" wrapText="1"/>
    </xf>
    <xf numFmtId="0" fontId="0" fillId="23" borderId="24" xfId="0" applyFill="1" applyBorder="1" applyAlignment="1">
      <alignment horizontal="left" vertical="center" wrapText="1"/>
    </xf>
    <xf numFmtId="0" fontId="0" fillId="23" borderId="21" xfId="0" applyFill="1" applyBorder="1" applyAlignment="1">
      <alignment vertical="center" wrapText="1"/>
    </xf>
    <xf numFmtId="0" fontId="0" fillId="23" borderId="126" xfId="0" applyFill="1" applyBorder="1" applyAlignment="1">
      <alignment horizontal="center" vertical="center" wrapText="1"/>
    </xf>
    <xf numFmtId="0" fontId="0" fillId="23" borderId="126" xfId="0" applyFill="1" applyBorder="1" applyAlignment="1">
      <alignment horizontal="left" vertical="center" wrapText="1"/>
    </xf>
    <xf numFmtId="0" fontId="0" fillId="23" borderId="194" xfId="0" quotePrefix="1" applyFill="1" applyBorder="1" applyAlignment="1">
      <alignment horizontal="center" vertical="center" wrapText="1"/>
    </xf>
    <xf numFmtId="0" fontId="0" fillId="23" borderId="131" xfId="0" quotePrefix="1" applyFill="1" applyBorder="1" applyAlignment="1">
      <alignment horizontal="left" vertical="center" wrapText="1"/>
    </xf>
    <xf numFmtId="0" fontId="0" fillId="23" borderId="175" xfId="0" applyFill="1" applyBorder="1" applyAlignment="1">
      <alignment horizontal="center" vertical="center" wrapText="1"/>
    </xf>
    <xf numFmtId="0" fontId="0" fillId="23" borderId="175" xfId="0" applyFill="1" applyBorder="1" applyAlignment="1">
      <alignment horizontal="left" vertical="center" wrapText="1"/>
    </xf>
    <xf numFmtId="0" fontId="0" fillId="45" borderId="0" xfId="0" applyFill="1" applyAlignment="1">
      <alignment horizontal="center" vertical="center"/>
    </xf>
    <xf numFmtId="0" fontId="0" fillId="45" borderId="91" xfId="0" applyFill="1" applyBorder="1" applyAlignment="1">
      <alignment horizontal="center" vertical="center"/>
    </xf>
    <xf numFmtId="0" fontId="0" fillId="45" borderId="139" xfId="0" applyFill="1" applyBorder="1" applyAlignment="1">
      <alignment horizontal="center" vertical="center"/>
    </xf>
    <xf numFmtId="0" fontId="0" fillId="45" borderId="132" xfId="0" quotePrefix="1" applyFill="1" applyBorder="1" applyAlignment="1">
      <alignment horizontal="center" vertical="center"/>
    </xf>
    <xf numFmtId="0" fontId="0" fillId="45" borderId="133" xfId="0" applyFill="1" applyBorder="1" applyAlignment="1">
      <alignment horizontal="center" vertical="center"/>
    </xf>
    <xf numFmtId="0" fontId="0" fillId="23" borderId="150" xfId="0" applyFill="1" applyBorder="1" applyAlignment="1">
      <alignment horizontal="center" vertical="center"/>
    </xf>
    <xf numFmtId="0" fontId="0" fillId="23" borderId="126" xfId="0" applyFill="1" applyBorder="1" applyAlignment="1">
      <alignment vertical="center" wrapText="1"/>
    </xf>
    <xf numFmtId="0" fontId="0" fillId="23" borderId="153" xfId="0" applyFill="1" applyBorder="1" applyAlignment="1">
      <alignment vertical="center" wrapText="1"/>
    </xf>
    <xf numFmtId="0" fontId="0" fillId="23" borderId="153" xfId="0" applyFill="1" applyBorder="1" applyAlignment="1">
      <alignment horizontal="center" vertical="center" wrapText="1"/>
    </xf>
    <xf numFmtId="0" fontId="0" fillId="23" borderId="153" xfId="0" applyFill="1" applyBorder="1" applyAlignment="1">
      <alignment horizontal="left" vertical="center" wrapText="1"/>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23" borderId="43" xfId="0" applyFill="1" applyBorder="1" applyAlignment="1">
      <alignment horizontal="center" vertical="center"/>
    </xf>
    <xf numFmtId="0" fontId="0" fillId="0" borderId="122" xfId="0" applyBorder="1" applyAlignment="1">
      <alignment horizontal="center" vertical="center" wrapText="1"/>
    </xf>
    <xf numFmtId="0" fontId="0" fillId="0" borderId="165" xfId="0" applyBorder="1" applyAlignment="1">
      <alignment horizontal="center" vertical="center" wrapText="1"/>
    </xf>
    <xf numFmtId="0" fontId="0" fillId="0" borderId="181" xfId="0" applyBorder="1" applyAlignment="1">
      <alignment horizontal="center" vertical="center" wrapText="1"/>
    </xf>
    <xf numFmtId="0" fontId="0" fillId="0" borderId="173" xfId="0" applyBorder="1" applyAlignment="1">
      <alignment horizontal="center" vertical="center" wrapText="1"/>
    </xf>
    <xf numFmtId="0" fontId="0" fillId="23" borderId="211" xfId="0" applyFill="1" applyBorder="1" applyAlignment="1">
      <alignment horizontal="center" vertical="center"/>
    </xf>
    <xf numFmtId="0" fontId="0" fillId="44" borderId="131" xfId="0" applyFill="1" applyBorder="1" applyAlignment="1">
      <alignment horizontal="center" vertical="center" wrapText="1"/>
    </xf>
    <xf numFmtId="0" fontId="0" fillId="44" borderId="126" xfId="0" applyFill="1" applyBorder="1" applyAlignment="1">
      <alignment vertical="center" wrapText="1"/>
    </xf>
    <xf numFmtId="0" fontId="0" fillId="44" borderId="131" xfId="0" applyFill="1" applyBorder="1" applyAlignment="1">
      <alignment horizontal="left" vertical="center" wrapText="1"/>
    </xf>
    <xf numFmtId="0" fontId="0" fillId="23" borderId="139" xfId="0" applyFill="1" applyBorder="1">
      <alignment vertical="center"/>
    </xf>
    <xf numFmtId="0" fontId="0" fillId="23" borderId="140" xfId="0" applyFill="1" applyBorder="1" applyAlignment="1">
      <alignment horizontal="center" vertical="center" wrapText="1"/>
    </xf>
    <xf numFmtId="0" fontId="0" fillId="23" borderId="140" xfId="0" applyFill="1" applyBorder="1" applyAlignment="1">
      <alignment vertical="center" wrapText="1"/>
    </xf>
    <xf numFmtId="0" fontId="0" fillId="23" borderId="140" xfId="0" applyFill="1" applyBorder="1" applyAlignment="1">
      <alignment horizontal="left" vertical="center" wrapText="1"/>
    </xf>
    <xf numFmtId="0" fontId="0" fillId="44" borderId="126" xfId="0" applyFill="1" applyBorder="1" applyAlignment="1">
      <alignment horizontal="center" vertical="center"/>
    </xf>
    <xf numFmtId="0" fontId="0" fillId="23" borderId="181" xfId="0" applyFill="1" applyBorder="1" applyAlignment="1">
      <alignment horizontal="center" vertical="center" wrapText="1"/>
    </xf>
    <xf numFmtId="0" fontId="0" fillId="46" borderId="21" xfId="0" applyFill="1" applyBorder="1" applyAlignment="1">
      <alignment horizontal="center" vertical="center"/>
    </xf>
    <xf numFmtId="0" fontId="0" fillId="0" borderId="165" xfId="0" quotePrefix="1" applyBorder="1" applyAlignment="1">
      <alignment horizontal="center" vertical="center" wrapText="1"/>
    </xf>
    <xf numFmtId="0" fontId="0" fillId="0" borderId="170" xfId="0" quotePrefix="1" applyBorder="1" applyAlignment="1">
      <alignment horizontal="center" vertical="center" wrapText="1"/>
    </xf>
    <xf numFmtId="0" fontId="0" fillId="44" borderId="132" xfId="0" quotePrefix="1" applyFill="1" applyBorder="1" applyAlignment="1">
      <alignment horizontal="center" vertical="center"/>
    </xf>
    <xf numFmtId="38" fontId="50" fillId="18" borderId="1" xfId="24" applyFont="1" applyFill="1" applyBorder="1" applyAlignment="1" applyProtection="1">
      <alignment horizontal="center" vertical="center"/>
      <protection locked="0"/>
    </xf>
    <xf numFmtId="0" fontId="50" fillId="18" borderId="217" xfId="0" applyFont="1" applyFill="1" applyBorder="1" applyAlignment="1" applyProtection="1">
      <alignment horizontal="center" vertical="center"/>
      <protection locked="0"/>
    </xf>
    <xf numFmtId="0" fontId="50" fillId="18" borderId="203" xfId="0" applyFont="1" applyFill="1" applyBorder="1" applyAlignment="1" applyProtection="1">
      <alignment horizontal="center" vertical="center"/>
      <protection locked="0"/>
    </xf>
    <xf numFmtId="38" fontId="0" fillId="50" borderId="131" xfId="24" applyFont="1" applyFill="1" applyBorder="1" applyProtection="1">
      <alignment vertical="center"/>
      <protection locked="0"/>
    </xf>
    <xf numFmtId="0" fontId="66" fillId="12" borderId="0" xfId="0" applyFont="1" applyFill="1">
      <alignment vertical="center"/>
    </xf>
    <xf numFmtId="0" fontId="0" fillId="12" borderId="0" xfId="0" applyFill="1">
      <alignment vertical="center"/>
    </xf>
    <xf numFmtId="0" fontId="8" fillId="4" borderId="39" xfId="0" applyFont="1" applyFill="1" applyBorder="1" applyAlignment="1">
      <alignment horizontal="center" vertical="center"/>
    </xf>
    <xf numFmtId="0" fontId="43" fillId="23" borderId="0" xfId="0" applyFont="1" applyFill="1" applyAlignment="1">
      <alignment horizontal="left" vertical="top" wrapText="1"/>
    </xf>
    <xf numFmtId="0" fontId="16" fillId="23" borderId="36" xfId="0" applyFont="1" applyFill="1" applyBorder="1" applyAlignment="1">
      <alignment horizontal="left" vertical="center"/>
    </xf>
    <xf numFmtId="0" fontId="0" fillId="12" borderId="0" xfId="0" applyFill="1" applyAlignment="1">
      <alignment horizontal="right" vertical="center"/>
    </xf>
    <xf numFmtId="0" fontId="43" fillId="23" borderId="98" xfId="0" applyFont="1" applyFill="1" applyBorder="1" applyAlignment="1">
      <alignment horizontal="left" vertical="top" wrapText="1"/>
    </xf>
    <xf numFmtId="0" fontId="16" fillId="2" borderId="131" xfId="0" applyFont="1" applyFill="1" applyBorder="1">
      <alignment vertical="center"/>
    </xf>
    <xf numFmtId="0" fontId="17" fillId="2" borderId="50" xfId="0" applyFont="1" applyFill="1" applyBorder="1" applyAlignment="1">
      <alignment horizontal="center" vertical="center" wrapText="1"/>
    </xf>
    <xf numFmtId="0" fontId="16" fillId="0" borderId="132" xfId="0" applyFont="1" applyBorder="1" applyAlignment="1">
      <alignment horizontal="center" vertical="center"/>
    </xf>
    <xf numFmtId="0" fontId="16" fillId="23" borderId="1" xfId="0" applyFont="1" applyFill="1" applyBorder="1" applyAlignment="1">
      <alignment horizontal="center" vertical="center" wrapText="1"/>
    </xf>
    <xf numFmtId="0" fontId="16" fillId="0" borderId="1" xfId="0" applyFont="1" applyBorder="1" applyAlignment="1">
      <alignment horizontal="left" vertical="center" wrapText="1"/>
    </xf>
    <xf numFmtId="0" fontId="16" fillId="23" borderId="1" xfId="0" applyFont="1" applyFill="1" applyBorder="1" applyAlignment="1">
      <alignment horizontal="left" vertical="center" wrapText="1"/>
    </xf>
    <xf numFmtId="0" fontId="66" fillId="0" borderId="0" xfId="0" applyFont="1">
      <alignment vertical="center"/>
    </xf>
    <xf numFmtId="0" fontId="16" fillId="2" borderId="132" xfId="0" applyFont="1" applyFill="1" applyBorder="1" applyAlignment="1">
      <alignment horizontal="center" vertical="center"/>
    </xf>
    <xf numFmtId="0" fontId="66" fillId="0" borderId="52" xfId="0" applyFont="1" applyBorder="1" applyAlignment="1">
      <alignment vertical="top" wrapText="1"/>
    </xf>
    <xf numFmtId="0" fontId="43" fillId="0" borderId="0" xfId="0" applyFont="1" applyAlignment="1">
      <alignment vertical="top"/>
    </xf>
    <xf numFmtId="0" fontId="40" fillId="23" borderId="0" xfId="0" applyFont="1" applyFill="1" applyAlignment="1">
      <alignment horizontal="left" vertical="center"/>
    </xf>
    <xf numFmtId="0" fontId="43" fillId="0" borderId="0" xfId="0" applyFont="1" applyAlignment="1">
      <alignment vertical="top" wrapText="1"/>
    </xf>
    <xf numFmtId="179" fontId="0" fillId="23" borderId="0" xfId="0" applyNumberFormat="1" applyFill="1">
      <alignment vertical="center"/>
    </xf>
    <xf numFmtId="0" fontId="0" fillId="23" borderId="0" xfId="0" applyFill="1" applyAlignment="1" applyProtection="1">
      <alignment horizontal="center" vertical="center"/>
      <protection locked="0"/>
    </xf>
    <xf numFmtId="0" fontId="18" fillId="13" borderId="0" xfId="0" applyFont="1" applyFill="1" applyAlignment="1">
      <alignment horizontal="center" vertical="center"/>
    </xf>
    <xf numFmtId="0" fontId="50" fillId="0" borderId="0" xfId="21" applyFont="1">
      <alignment vertical="center"/>
    </xf>
    <xf numFmtId="0" fontId="0" fillId="13" borderId="0" xfId="0" applyFill="1">
      <alignment vertical="center"/>
    </xf>
    <xf numFmtId="180" fontId="0" fillId="0" borderId="0" xfId="0" applyNumberFormat="1">
      <alignment vertical="center"/>
    </xf>
    <xf numFmtId="180" fontId="0" fillId="23" borderId="0" xfId="0" applyNumberFormat="1" applyFill="1">
      <alignment vertical="center"/>
    </xf>
    <xf numFmtId="0" fontId="0" fillId="13" borderId="0" xfId="0" applyFill="1" applyAlignment="1">
      <alignment horizontal="right" vertical="center"/>
    </xf>
    <xf numFmtId="180" fontId="0" fillId="23" borderId="0" xfId="0" applyNumberFormat="1" applyFill="1" applyAlignment="1">
      <alignment horizontal="left" vertical="center"/>
    </xf>
    <xf numFmtId="0" fontId="50" fillId="23" borderId="0" xfId="21" applyFont="1" applyFill="1">
      <alignment vertical="center"/>
    </xf>
    <xf numFmtId="0" fontId="50" fillId="23" borderId="0" xfId="21" applyFont="1" applyFill="1" applyAlignment="1">
      <alignment horizontal="left" vertical="center"/>
    </xf>
    <xf numFmtId="0" fontId="50" fillId="0" borderId="0" xfId="21" applyFont="1" applyAlignment="1">
      <alignment horizontal="right" vertical="center"/>
    </xf>
    <xf numFmtId="0" fontId="76" fillId="0" borderId="0" xfId="21" applyFont="1">
      <alignment vertical="center"/>
    </xf>
    <xf numFmtId="0" fontId="50" fillId="18" borderId="131" xfId="21" applyFont="1" applyFill="1" applyBorder="1">
      <alignment vertical="center"/>
    </xf>
    <xf numFmtId="0" fontId="50" fillId="18" borderId="21" xfId="21" applyFont="1" applyFill="1" applyBorder="1">
      <alignment vertical="center"/>
    </xf>
    <xf numFmtId="0" fontId="50" fillId="18" borderId="131" xfId="21" applyFont="1" applyFill="1" applyBorder="1" applyAlignment="1">
      <alignment horizontal="center" vertical="center" wrapText="1"/>
    </xf>
    <xf numFmtId="0" fontId="50" fillId="18" borderId="140" xfId="21" applyFont="1" applyFill="1" applyBorder="1">
      <alignment vertical="center"/>
    </xf>
    <xf numFmtId="0" fontId="50" fillId="23" borderId="131" xfId="23" applyFont="1" applyFill="1" applyBorder="1">
      <alignment vertical="center"/>
    </xf>
    <xf numFmtId="0" fontId="50" fillId="42" borderId="131" xfId="23" applyFont="1" applyFill="1" applyBorder="1">
      <alignment vertical="center"/>
    </xf>
    <xf numFmtId="0" fontId="50" fillId="42" borderId="131" xfId="23" applyFont="1" applyFill="1" applyBorder="1" applyAlignment="1">
      <alignment horizontal="center" vertical="center"/>
    </xf>
    <xf numFmtId="0" fontId="66" fillId="0" borderId="0" xfId="0" applyFont="1" applyAlignment="1">
      <alignment vertical="top" wrapText="1"/>
    </xf>
    <xf numFmtId="0" fontId="50" fillId="42" borderId="157" xfId="23" applyFont="1" applyFill="1" applyBorder="1">
      <alignment vertical="center"/>
    </xf>
    <xf numFmtId="0" fontId="101" fillId="23" borderId="131" xfId="0" applyFont="1" applyFill="1" applyBorder="1">
      <alignment vertical="center"/>
    </xf>
    <xf numFmtId="0" fontId="6" fillId="0" borderId="0" xfId="23">
      <alignment vertical="center"/>
    </xf>
    <xf numFmtId="0" fontId="50" fillId="0" borderId="0" xfId="23" applyFont="1">
      <alignment vertical="center"/>
    </xf>
    <xf numFmtId="0" fontId="50" fillId="0" borderId="131" xfId="23" applyFont="1" applyBorder="1">
      <alignment vertical="center"/>
    </xf>
    <xf numFmtId="180" fontId="43" fillId="0" borderId="0" xfId="0" applyNumberFormat="1" applyFont="1" applyAlignment="1">
      <alignment horizontal="left" vertical="top" wrapText="1"/>
    </xf>
    <xf numFmtId="0" fontId="16" fillId="13" borderId="0" xfId="0" applyFont="1" applyFill="1">
      <alignment vertical="center"/>
    </xf>
    <xf numFmtId="0" fontId="16" fillId="13" borderId="0" xfId="0" applyFont="1" applyFill="1" applyAlignment="1">
      <alignment vertical="center" wrapText="1"/>
    </xf>
    <xf numFmtId="180" fontId="16" fillId="23" borderId="0" xfId="0" applyNumberFormat="1" applyFont="1" applyFill="1" applyAlignment="1">
      <alignment vertical="center" wrapText="1"/>
    </xf>
    <xf numFmtId="0" fontId="16" fillId="0" borderId="0" xfId="0" applyFont="1" applyAlignment="1">
      <alignment vertical="center" wrapText="1"/>
    </xf>
    <xf numFmtId="0" fontId="16" fillId="12" borderId="0" xfId="0" applyFont="1" applyFill="1">
      <alignment vertical="center"/>
    </xf>
    <xf numFmtId="180" fontId="0" fillId="23" borderId="0" xfId="0" applyNumberFormat="1" applyFill="1" applyAlignment="1">
      <alignment vertical="center" wrapText="1"/>
    </xf>
    <xf numFmtId="0" fontId="16" fillId="12" borderId="0" xfId="0" applyFont="1" applyFill="1" applyAlignment="1">
      <alignment horizontal="left" vertical="center"/>
    </xf>
    <xf numFmtId="0" fontId="16" fillId="12" borderId="139" xfId="0" applyFont="1" applyFill="1" applyBorder="1" applyAlignment="1">
      <alignment horizontal="left" vertical="center"/>
    </xf>
    <xf numFmtId="0" fontId="16" fillId="0" borderId="0" xfId="0" applyFont="1" applyAlignment="1">
      <alignment horizontal="center" vertical="center"/>
    </xf>
    <xf numFmtId="0" fontId="16" fillId="2" borderId="0" xfId="0" applyFont="1" applyFill="1" applyAlignment="1">
      <alignment horizontal="center" vertical="center"/>
    </xf>
    <xf numFmtId="0" fontId="16" fillId="12" borderId="191" xfId="0" applyFont="1" applyFill="1" applyBorder="1" applyAlignment="1">
      <alignment horizontal="center" vertical="center" wrapText="1"/>
    </xf>
    <xf numFmtId="0" fontId="16" fillId="23" borderId="191" xfId="0" applyFont="1" applyFill="1" applyBorder="1" applyAlignment="1">
      <alignment horizontal="center" vertical="center" wrapText="1"/>
    </xf>
    <xf numFmtId="0" fontId="16" fillId="0" borderId="0" xfId="0" applyFont="1" applyAlignment="1">
      <alignment horizontal="center" vertical="center" wrapText="1"/>
    </xf>
    <xf numFmtId="0" fontId="16" fillId="13" borderId="0" xfId="0" applyFont="1" applyFill="1" applyAlignment="1">
      <alignment horizontal="center" vertical="center" wrapText="1"/>
    </xf>
    <xf numFmtId="0" fontId="16" fillId="12" borderId="43" xfId="0" applyFont="1" applyFill="1" applyBorder="1" applyAlignment="1">
      <alignment horizontal="center" vertical="center" wrapText="1"/>
    </xf>
    <xf numFmtId="0" fontId="16" fillId="17" borderId="0" xfId="0" applyFont="1" applyFill="1" applyAlignment="1">
      <alignment horizontal="center" vertical="center" wrapText="1"/>
    </xf>
    <xf numFmtId="0" fontId="16" fillId="12" borderId="131" xfId="0" applyFont="1" applyFill="1" applyBorder="1" applyAlignment="1">
      <alignment horizontal="center" vertical="center" wrapText="1"/>
    </xf>
    <xf numFmtId="0" fontId="43" fillId="0" borderId="0" xfId="0" applyFont="1" applyAlignment="1">
      <alignment horizontal="left" vertical="top" wrapText="1"/>
    </xf>
    <xf numFmtId="0" fontId="16" fillId="12" borderId="36" xfId="0" applyFont="1" applyFill="1" applyBorder="1" applyAlignment="1">
      <alignment horizontal="left" vertical="center"/>
    </xf>
    <xf numFmtId="0" fontId="9" fillId="12" borderId="0" xfId="0" applyFont="1" applyFill="1" applyAlignment="1">
      <alignment horizontal="right" vertical="center"/>
    </xf>
    <xf numFmtId="0" fontId="16" fillId="0" borderId="63" xfId="0" applyFont="1" applyBorder="1" applyAlignment="1">
      <alignment horizontal="left" vertical="center"/>
    </xf>
    <xf numFmtId="0" fontId="16" fillId="2" borderId="0" xfId="0" applyFont="1" applyFill="1">
      <alignment vertical="center"/>
    </xf>
    <xf numFmtId="0" fontId="16" fillId="2" borderId="21" xfId="0" applyFont="1" applyFill="1" applyBorder="1">
      <alignment vertical="center"/>
    </xf>
    <xf numFmtId="0" fontId="0" fillId="12" borderId="0" xfId="0" applyFill="1" applyAlignment="1">
      <alignment horizontal="left" vertical="center"/>
    </xf>
    <xf numFmtId="0" fontId="16" fillId="12" borderId="0" xfId="0" applyFont="1" applyFill="1" applyAlignment="1">
      <alignment horizontal="center" vertical="center"/>
    </xf>
    <xf numFmtId="0" fontId="16" fillId="0" borderId="0" xfId="0" applyFont="1" applyAlignment="1">
      <alignment horizontal="left" vertical="center"/>
    </xf>
    <xf numFmtId="0" fontId="9" fillId="2" borderId="131" xfId="0" applyFont="1" applyFill="1" applyBorder="1" applyAlignment="1">
      <alignment horizontal="center" vertical="center"/>
    </xf>
    <xf numFmtId="0" fontId="24" fillId="2" borderId="132" xfId="0" applyFont="1" applyFill="1" applyBorder="1">
      <alignment vertical="center"/>
    </xf>
    <xf numFmtId="0" fontId="9" fillId="2" borderId="133" xfId="0" applyFont="1" applyFill="1" applyBorder="1">
      <alignment vertical="center"/>
    </xf>
    <xf numFmtId="0" fontId="17" fillId="2" borderId="51" xfId="0" applyFont="1" applyFill="1" applyBorder="1" applyAlignment="1">
      <alignment horizontal="center" vertical="center" shrinkToFit="1"/>
    </xf>
    <xf numFmtId="0" fontId="17" fillId="2" borderId="27" xfId="0" applyFont="1" applyFill="1" applyBorder="1" applyAlignment="1">
      <alignment horizontal="center" vertical="center" wrapText="1"/>
    </xf>
    <xf numFmtId="0" fontId="0" fillId="2" borderId="132" xfId="0" applyFill="1" applyBorder="1">
      <alignment vertical="center"/>
    </xf>
    <xf numFmtId="0" fontId="24" fillId="2" borderId="133" xfId="0" applyFont="1" applyFill="1" applyBorder="1">
      <alignment vertical="center"/>
    </xf>
    <xf numFmtId="0" fontId="24" fillId="2" borderId="139" xfId="0" applyFont="1" applyFill="1" applyBorder="1">
      <alignment vertical="center"/>
    </xf>
    <xf numFmtId="0" fontId="0" fillId="2" borderId="6" xfId="0" applyFill="1" applyBorder="1">
      <alignment vertical="center"/>
    </xf>
    <xf numFmtId="0" fontId="9" fillId="2" borderId="4" xfId="0" applyFont="1" applyFill="1" applyBorder="1">
      <alignment vertical="center"/>
    </xf>
    <xf numFmtId="0" fontId="9" fillId="2" borderId="0" xfId="0" applyFont="1" applyFill="1">
      <alignment vertical="center"/>
    </xf>
    <xf numFmtId="0" fontId="0" fillId="21" borderId="132" xfId="0" applyFill="1" applyBorder="1">
      <alignment vertical="center"/>
    </xf>
    <xf numFmtId="0" fontId="0" fillId="21" borderId="133" xfId="0" applyFill="1" applyBorder="1">
      <alignment vertical="center"/>
    </xf>
    <xf numFmtId="0" fontId="0" fillId="21" borderId="135"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6" xfId="0" applyFill="1" applyBorder="1">
      <alignment vertical="center"/>
    </xf>
    <xf numFmtId="0" fontId="0" fillId="21" borderId="0" xfId="0" applyFill="1">
      <alignment vertical="center"/>
    </xf>
    <xf numFmtId="0" fontId="0" fillId="21" borderId="61" xfId="0" applyFill="1" applyBorder="1">
      <alignment vertical="center"/>
    </xf>
    <xf numFmtId="0" fontId="16" fillId="0" borderId="54" xfId="0" applyFont="1" applyBorder="1">
      <alignment vertical="center"/>
    </xf>
    <xf numFmtId="179" fontId="16" fillId="0" borderId="0" xfId="0" applyNumberFormat="1" applyFont="1">
      <alignment vertical="center"/>
    </xf>
    <xf numFmtId="0" fontId="16" fillId="49"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6"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6" fillId="53" borderId="0" xfId="0" applyFont="1" applyFill="1">
      <alignment vertical="center"/>
    </xf>
    <xf numFmtId="0" fontId="0" fillId="21" borderId="91" xfId="0" applyFill="1" applyBorder="1">
      <alignment vertical="center"/>
    </xf>
    <xf numFmtId="0" fontId="0" fillId="21" borderId="139" xfId="0" applyFill="1" applyBorder="1" applyAlignment="1">
      <alignment vertical="center" wrapText="1"/>
    </xf>
    <xf numFmtId="0" fontId="0" fillId="21" borderId="140" xfId="0" applyFill="1" applyBorder="1" applyAlignment="1">
      <alignment vertical="center" wrapText="1"/>
    </xf>
    <xf numFmtId="0" fontId="0" fillId="21" borderId="33" xfId="0" applyFill="1" applyBorder="1">
      <alignment vertical="center"/>
    </xf>
    <xf numFmtId="0" fontId="0" fillId="21" borderId="123" xfId="0" applyFill="1" applyBorder="1">
      <alignment vertical="center"/>
    </xf>
    <xf numFmtId="0" fontId="16" fillId="0" borderId="74" xfId="0" applyFont="1" applyBorder="1">
      <alignment vertical="center"/>
    </xf>
    <xf numFmtId="0" fontId="8" fillId="0" borderId="0" xfId="0" applyFont="1">
      <alignment vertical="center"/>
    </xf>
    <xf numFmtId="0" fontId="8" fillId="12" borderId="0" xfId="0" applyFont="1" applyFill="1">
      <alignment vertical="center"/>
    </xf>
    <xf numFmtId="0" fontId="16" fillId="0" borderId="34" xfId="0" applyFont="1" applyBorder="1" applyAlignment="1">
      <alignment horizontal="left" vertical="center"/>
    </xf>
    <xf numFmtId="0" fontId="16" fillId="2" borderId="131" xfId="0" applyFont="1" applyFill="1" applyBorder="1" applyAlignment="1">
      <alignment horizontal="center" vertical="center"/>
    </xf>
    <xf numFmtId="0" fontId="0" fillId="12" borderId="21" xfId="0" applyFill="1" applyBorder="1">
      <alignment vertical="center"/>
    </xf>
    <xf numFmtId="0" fontId="16" fillId="12" borderId="124" xfId="0" applyFont="1" applyFill="1" applyBorder="1">
      <alignment vertical="center"/>
    </xf>
    <xf numFmtId="180" fontId="0" fillId="0" borderId="0" xfId="0" applyNumberFormat="1" applyAlignment="1">
      <alignment vertical="center" wrapText="1"/>
    </xf>
    <xf numFmtId="0" fontId="16" fillId="49" borderId="79" xfId="0" applyFont="1" applyFill="1" applyBorder="1">
      <alignment vertical="center"/>
    </xf>
    <xf numFmtId="0" fontId="16" fillId="0" borderId="215" xfId="0" applyFont="1" applyBorder="1">
      <alignment vertical="center"/>
    </xf>
    <xf numFmtId="0" fontId="16" fillId="2" borderId="53"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12" borderId="50" xfId="0" applyFont="1" applyFill="1" applyBorder="1" applyAlignment="1">
      <alignment horizontal="center" vertical="center" wrapText="1"/>
    </xf>
    <xf numFmtId="0" fontId="16" fillId="12" borderId="21" xfId="0" applyFont="1" applyFill="1" applyBorder="1">
      <alignment vertical="center"/>
    </xf>
    <xf numFmtId="0" fontId="0" fillId="12" borderId="56" xfId="0" applyFill="1" applyBorder="1">
      <alignment vertical="center"/>
    </xf>
    <xf numFmtId="0" fontId="16" fillId="2" borderId="6" xfId="0" applyFont="1" applyFill="1" applyBorder="1" applyAlignment="1">
      <alignment horizontal="left" vertical="center"/>
    </xf>
    <xf numFmtId="0" fontId="28" fillId="2" borderId="4" xfId="0" applyFont="1" applyFill="1" applyBorder="1">
      <alignment vertical="center"/>
    </xf>
    <xf numFmtId="0" fontId="28" fillId="2" borderId="64" xfId="0" applyFont="1" applyFill="1" applyBorder="1">
      <alignment vertical="center"/>
    </xf>
    <xf numFmtId="0" fontId="28" fillId="2" borderId="210" xfId="0" applyFont="1" applyFill="1" applyBorder="1">
      <alignment vertical="center"/>
    </xf>
    <xf numFmtId="0" fontId="16" fillId="0" borderId="90" xfId="0" applyFont="1" applyBorder="1" applyAlignment="1">
      <alignment horizontal="left" vertical="center"/>
    </xf>
    <xf numFmtId="0" fontId="0" fillId="0" borderId="0" xfId="0" applyAlignment="1">
      <alignment horizontal="right" vertical="center"/>
    </xf>
    <xf numFmtId="0" fontId="31" fillId="0" borderId="0" xfId="0" applyFont="1">
      <alignment vertical="center"/>
    </xf>
    <xf numFmtId="0" fontId="16" fillId="23" borderId="63" xfId="0" applyFont="1" applyFill="1" applyBorder="1" applyAlignment="1">
      <alignment horizontal="left" vertical="top"/>
    </xf>
    <xf numFmtId="0" fontId="66" fillId="0" borderId="52" xfId="0" applyFont="1" applyBorder="1">
      <alignment vertical="center"/>
    </xf>
    <xf numFmtId="0" fontId="0" fillId="0" borderId="21" xfId="0" applyBorder="1">
      <alignment vertical="center"/>
    </xf>
    <xf numFmtId="0" fontId="62" fillId="0" borderId="0" xfId="0" applyFont="1">
      <alignment vertical="center"/>
    </xf>
    <xf numFmtId="0" fontId="66" fillId="0" borderId="0" xfId="0" applyFont="1" applyAlignment="1">
      <alignment horizontal="left" vertical="top" wrapText="1"/>
    </xf>
    <xf numFmtId="0" fontId="16" fillId="0" borderId="91" xfId="0" applyFont="1" applyBorder="1" applyAlignment="1">
      <alignment horizontal="right" vertical="top"/>
    </xf>
    <xf numFmtId="0" fontId="0" fillId="0" borderId="156" xfId="0" applyBorder="1">
      <alignment vertical="center"/>
    </xf>
    <xf numFmtId="0" fontId="16" fillId="0" borderId="52" xfId="0" applyFont="1" applyBorder="1">
      <alignment vertical="center"/>
    </xf>
    <xf numFmtId="0" fontId="0" fillId="0" borderId="104" xfId="0" applyBorder="1">
      <alignment vertical="center"/>
    </xf>
    <xf numFmtId="0" fontId="16" fillId="0" borderId="75" xfId="0" applyFont="1" applyBorder="1">
      <alignment vertical="center"/>
    </xf>
    <xf numFmtId="0" fontId="31" fillId="0" borderId="140" xfId="0" applyFont="1" applyBorder="1">
      <alignment vertical="center"/>
    </xf>
    <xf numFmtId="0" fontId="0" fillId="0" borderId="61" xfId="0" applyBorder="1">
      <alignment vertical="center"/>
    </xf>
    <xf numFmtId="0" fontId="0" fillId="0" borderId="0" xfId="0" applyAlignment="1">
      <alignment vertical="top" wrapText="1"/>
    </xf>
    <xf numFmtId="0" fontId="16" fillId="0" borderId="72" xfId="0" applyFont="1" applyBorder="1">
      <alignment vertical="center"/>
    </xf>
    <xf numFmtId="0" fontId="55" fillId="28" borderId="0" xfId="0" applyFont="1" applyFill="1">
      <alignment vertical="center"/>
    </xf>
    <xf numFmtId="0" fontId="55" fillId="34" borderId="0" xfId="0" applyFont="1" applyFill="1" applyAlignment="1">
      <alignment horizontal="left" vertical="center"/>
    </xf>
    <xf numFmtId="0" fontId="55" fillId="0" borderId="0" xfId="0" applyFont="1">
      <alignment vertical="center"/>
    </xf>
    <xf numFmtId="0" fontId="18" fillId="28" borderId="0" xfId="0" applyFont="1" applyFill="1" applyAlignment="1">
      <alignment horizontal="center" vertical="center" wrapText="1"/>
    </xf>
    <xf numFmtId="0" fontId="43" fillId="28" borderId="0" xfId="0" applyFont="1" applyFill="1" applyAlignment="1">
      <alignment horizontal="left" vertical="top" wrapText="1"/>
    </xf>
    <xf numFmtId="0" fontId="55" fillId="23" borderId="0" xfId="0" applyFont="1" applyFill="1" applyAlignment="1">
      <alignment horizontal="left" vertical="center"/>
    </xf>
    <xf numFmtId="0" fontId="55" fillId="28" borderId="0" xfId="0" applyFont="1" applyFill="1" applyAlignment="1">
      <alignment horizontal="center" vertical="center"/>
    </xf>
    <xf numFmtId="0" fontId="55" fillId="28" borderId="0" xfId="0" applyFont="1" applyFill="1" applyAlignment="1">
      <alignment horizontal="right" vertical="center"/>
    </xf>
    <xf numFmtId="0" fontId="55" fillId="34" borderId="98" xfId="0" applyFont="1" applyFill="1" applyBorder="1">
      <alignment vertical="center"/>
    </xf>
    <xf numFmtId="0" fontId="55" fillId="34" borderId="0" xfId="0" applyFont="1" applyFill="1">
      <alignment vertical="center"/>
    </xf>
    <xf numFmtId="0" fontId="56" fillId="28" borderId="0" xfId="0" applyFont="1" applyFill="1">
      <alignment vertical="center"/>
    </xf>
    <xf numFmtId="0" fontId="55" fillId="23" borderId="0" xfId="0" applyFont="1" applyFill="1">
      <alignment vertical="center"/>
    </xf>
    <xf numFmtId="0" fontId="16" fillId="28" borderId="0" xfId="0" applyFont="1" applyFill="1">
      <alignment vertical="center"/>
    </xf>
    <xf numFmtId="0" fontId="16" fillId="28" borderId="0" xfId="0" applyFont="1" applyFill="1" applyAlignment="1">
      <alignment vertical="center" wrapText="1"/>
    </xf>
    <xf numFmtId="0" fontId="24" fillId="29" borderId="1" xfId="0" applyFont="1" applyFill="1" applyBorder="1">
      <alignment vertical="center"/>
    </xf>
    <xf numFmtId="0" fontId="16" fillId="29" borderId="1" xfId="0" applyFont="1" applyFill="1" applyBorder="1" applyAlignment="1">
      <alignment horizontal="center" vertical="center" wrapText="1"/>
    </xf>
    <xf numFmtId="0" fontId="16" fillId="28" borderId="1" xfId="0" applyFont="1" applyFill="1" applyBorder="1" applyAlignment="1">
      <alignment horizontal="center" vertical="center"/>
    </xf>
    <xf numFmtId="0" fontId="16" fillId="28" borderId="1" xfId="0" applyFont="1" applyFill="1" applyBorder="1" applyAlignment="1">
      <alignment horizontal="center" vertical="center" wrapText="1"/>
    </xf>
    <xf numFmtId="0" fontId="55" fillId="29" borderId="1" xfId="0" applyFont="1" applyFill="1" applyBorder="1" applyAlignment="1">
      <alignment horizontal="center" vertical="center"/>
    </xf>
    <xf numFmtId="179" fontId="55" fillId="28" borderId="0" xfId="0" applyNumberFormat="1" applyFont="1" applyFill="1">
      <alignment vertical="center"/>
    </xf>
    <xf numFmtId="179" fontId="55" fillId="34" borderId="0" xfId="0" applyNumberFormat="1" applyFont="1" applyFill="1">
      <alignment vertical="center"/>
    </xf>
    <xf numFmtId="0" fontId="55" fillId="0" borderId="0" xfId="0" applyFont="1" applyAlignment="1">
      <alignment horizontal="center" vertical="center"/>
    </xf>
    <xf numFmtId="0" fontId="18" fillId="0" borderId="0" xfId="0" applyFont="1">
      <alignment vertical="center"/>
    </xf>
    <xf numFmtId="0" fontId="21" fillId="23" borderId="0" xfId="0" applyFont="1" applyFill="1" applyAlignment="1">
      <alignment horizontal="left" vertical="center"/>
    </xf>
    <xf numFmtId="0" fontId="8" fillId="23" borderId="0" xfId="0" applyFont="1" applyFill="1">
      <alignment vertical="center"/>
    </xf>
    <xf numFmtId="0" fontId="66" fillId="23" borderId="0" xfId="0" applyFont="1" applyFill="1" applyAlignment="1">
      <alignment vertical="top" wrapText="1"/>
    </xf>
    <xf numFmtId="0" fontId="16" fillId="21" borderId="32" xfId="0" applyFont="1" applyFill="1" applyBorder="1">
      <alignment vertical="center"/>
    </xf>
    <xf numFmtId="0" fontId="16" fillId="21" borderId="33" xfId="0" applyFont="1" applyFill="1" applyBorder="1">
      <alignment vertical="center"/>
    </xf>
    <xf numFmtId="0" fontId="0" fillId="23" borderId="21" xfId="0" applyFill="1" applyBorder="1">
      <alignment vertical="center"/>
    </xf>
    <xf numFmtId="0" fontId="0" fillId="21" borderId="139" xfId="0" applyFill="1" applyBorder="1">
      <alignment vertical="center"/>
    </xf>
    <xf numFmtId="0" fontId="62" fillId="23" borderId="0" xfId="0" applyFont="1" applyFill="1">
      <alignment vertical="center"/>
    </xf>
    <xf numFmtId="0" fontId="16" fillId="23" borderId="211" xfId="0" applyFont="1" applyFill="1" applyBorder="1">
      <alignment vertical="center"/>
    </xf>
    <xf numFmtId="0" fontId="16" fillId="23" borderId="43" xfId="0" applyFont="1" applyFill="1" applyBorder="1">
      <alignment vertical="center"/>
    </xf>
    <xf numFmtId="0" fontId="16" fillId="12" borderId="139" xfId="0" applyFont="1" applyFill="1" applyBorder="1">
      <alignment vertical="center"/>
    </xf>
    <xf numFmtId="0" fontId="16" fillId="21" borderId="130" xfId="0" applyFont="1" applyFill="1" applyBorder="1">
      <alignment vertical="center"/>
    </xf>
    <xf numFmtId="0" fontId="16" fillId="21" borderId="188" xfId="0" applyFont="1" applyFill="1" applyBorder="1" applyAlignment="1">
      <alignment horizontal="center" vertical="center"/>
    </xf>
    <xf numFmtId="0" fontId="16" fillId="21" borderId="189" xfId="0" applyFont="1" applyFill="1" applyBorder="1">
      <alignment vertical="center"/>
    </xf>
    <xf numFmtId="0" fontId="0" fillId="21" borderId="189" xfId="0" applyFill="1" applyBorder="1">
      <alignment vertical="center"/>
    </xf>
    <xf numFmtId="0" fontId="0" fillId="21" borderId="190" xfId="0" applyFill="1" applyBorder="1">
      <alignment vertical="center"/>
    </xf>
    <xf numFmtId="0" fontId="16" fillId="21" borderId="0" xfId="0" applyFont="1" applyFill="1">
      <alignment vertical="center"/>
    </xf>
    <xf numFmtId="0" fontId="16" fillId="21" borderId="0" xfId="0" applyFont="1" applyFill="1" applyAlignment="1">
      <alignment horizontal="center" vertical="center" shrinkToFit="1"/>
    </xf>
    <xf numFmtId="0" fontId="0" fillId="21" borderId="21" xfId="0" applyFill="1" applyBorder="1">
      <alignment vertical="center"/>
    </xf>
    <xf numFmtId="0" fontId="9" fillId="21" borderId="0" xfId="0" applyFont="1" applyFill="1">
      <alignment vertical="center"/>
    </xf>
    <xf numFmtId="0" fontId="60" fillId="13" borderId="0" xfId="0" applyFont="1" applyFill="1" applyAlignment="1">
      <alignment horizontal="center" vertical="center"/>
    </xf>
    <xf numFmtId="0" fontId="22" fillId="12" borderId="0" xfId="0" applyFont="1" applyFill="1">
      <alignment vertical="center"/>
    </xf>
    <xf numFmtId="0" fontId="22" fillId="23" borderId="0" xfId="0" applyFont="1" applyFill="1" applyAlignment="1">
      <alignment horizontal="left" vertical="center"/>
    </xf>
    <xf numFmtId="0" fontId="8" fillId="23" borderId="0" xfId="0" applyFont="1" applyFill="1" applyAlignment="1">
      <alignment horizontal="center" vertical="center"/>
    </xf>
    <xf numFmtId="0" fontId="8" fillId="4" borderId="0" xfId="0" applyFont="1" applyFill="1" applyAlignment="1">
      <alignment horizontal="center" vertical="center"/>
    </xf>
    <xf numFmtId="0" fontId="22" fillId="13" borderId="0" xfId="0" applyFont="1" applyFill="1">
      <alignment vertical="center"/>
    </xf>
    <xf numFmtId="0" fontId="22" fillId="13" borderId="0" xfId="0" applyFont="1" applyFill="1" applyAlignment="1">
      <alignment horizontal="center" vertical="center"/>
    </xf>
    <xf numFmtId="0" fontId="8" fillId="13" borderId="21" xfId="0" applyFont="1" applyFill="1" applyBorder="1" applyAlignment="1">
      <alignment horizontal="right" vertical="center"/>
    </xf>
    <xf numFmtId="180" fontId="8" fillId="13" borderId="0" xfId="0" applyNumberFormat="1" applyFont="1" applyFill="1" applyAlignment="1">
      <alignment horizontal="center" vertical="center" shrinkToFit="1"/>
    </xf>
    <xf numFmtId="0" fontId="41" fillId="12" borderId="0" xfId="0" applyFont="1" applyFill="1" applyAlignment="1">
      <alignment horizontal="left" vertical="top" wrapText="1"/>
    </xf>
    <xf numFmtId="0" fontId="8" fillId="13" borderId="0" xfId="0" applyFont="1" applyFill="1" applyAlignment="1">
      <alignment horizontal="left" vertical="center" wrapText="1"/>
    </xf>
    <xf numFmtId="0" fontId="8" fillId="12" borderId="0" xfId="0" applyFont="1" applyFill="1" applyAlignment="1">
      <alignment vertical="center" wrapText="1"/>
    </xf>
    <xf numFmtId="0" fontId="8" fillId="23" borderId="0" xfId="0" applyFont="1" applyFill="1" applyAlignment="1">
      <alignment vertical="center" wrapText="1"/>
    </xf>
    <xf numFmtId="0" fontId="16" fillId="23" borderId="63" xfId="0" applyFont="1" applyFill="1" applyBorder="1" applyAlignment="1">
      <alignment horizontal="left" vertical="top" wrapText="1"/>
    </xf>
    <xf numFmtId="0" fontId="16" fillId="13" borderId="0" xfId="0" applyFont="1" applyFill="1" applyAlignment="1">
      <alignment horizontal="left" vertical="center" wrapText="1"/>
    </xf>
    <xf numFmtId="0" fontId="22" fillId="49" borderId="0" xfId="0" applyFont="1" applyFill="1">
      <alignment vertical="center"/>
    </xf>
    <xf numFmtId="0" fontId="25" fillId="12" borderId="0" xfId="0" applyFont="1" applyFill="1">
      <alignment vertical="center"/>
    </xf>
    <xf numFmtId="0" fontId="8" fillId="2" borderId="132" xfId="0" applyFont="1" applyFill="1" applyBorder="1" applyAlignment="1">
      <alignment horizontal="center" vertical="center"/>
    </xf>
    <xf numFmtId="0" fontId="22" fillId="2" borderId="132" xfId="0" applyFont="1" applyFill="1" applyBorder="1" applyAlignment="1">
      <alignment horizontal="center" vertical="center" wrapText="1"/>
    </xf>
    <xf numFmtId="0" fontId="22" fillId="2" borderId="131" xfId="0" applyFont="1" applyFill="1" applyBorder="1" applyAlignment="1">
      <alignment horizontal="center" vertical="center" shrinkToFit="1"/>
    </xf>
    <xf numFmtId="0" fontId="8" fillId="49" borderId="0" xfId="0" applyFont="1" applyFill="1">
      <alignment vertical="center"/>
    </xf>
    <xf numFmtId="0" fontId="8" fillId="53" borderId="0" xfId="0" applyFont="1" applyFill="1">
      <alignment vertical="center"/>
    </xf>
    <xf numFmtId="0" fontId="22" fillId="23" borderId="0" xfId="0" applyFont="1" applyFill="1">
      <alignment vertical="center"/>
    </xf>
    <xf numFmtId="0" fontId="22" fillId="53" borderId="0" xfId="0" applyFont="1" applyFill="1">
      <alignment vertical="center"/>
    </xf>
    <xf numFmtId="179" fontId="22" fillId="12" borderId="0" xfId="0" applyNumberFormat="1" applyFont="1" applyFill="1">
      <alignment vertical="center"/>
    </xf>
    <xf numFmtId="179" fontId="22" fillId="23" borderId="0" xfId="0" applyNumberFormat="1" applyFont="1" applyFill="1">
      <alignment vertical="center"/>
    </xf>
    <xf numFmtId="0" fontId="22" fillId="2" borderId="132" xfId="0" applyFont="1" applyFill="1" applyBorder="1" applyAlignment="1">
      <alignment horizontal="center" vertical="center"/>
    </xf>
    <xf numFmtId="0" fontId="22" fillId="2" borderId="132" xfId="0" applyFont="1" applyFill="1" applyBorder="1" applyAlignment="1">
      <alignment horizontal="right" vertical="center"/>
    </xf>
    <xf numFmtId="176" fontId="22" fillId="12" borderId="131" xfId="0" applyNumberFormat="1" applyFont="1" applyFill="1" applyBorder="1" applyAlignment="1">
      <alignment horizontal="center" vertical="center" shrinkToFit="1"/>
    </xf>
    <xf numFmtId="0" fontId="16" fillId="0" borderId="0" xfId="0" applyFont="1" applyAlignment="1"/>
    <xf numFmtId="0" fontId="22" fillId="0" borderId="0" xfId="0" applyFont="1" applyAlignment="1">
      <alignment horizontal="left" vertical="center" wrapText="1"/>
    </xf>
    <xf numFmtId="0" fontId="22" fillId="0" borderId="61" xfId="0" applyFont="1" applyBorder="1">
      <alignment vertical="center"/>
    </xf>
    <xf numFmtId="0" fontId="22" fillId="21" borderId="64" xfId="0" applyFont="1" applyFill="1" applyBorder="1" applyAlignment="1">
      <alignment horizontal="center" vertical="center"/>
    </xf>
    <xf numFmtId="0" fontId="22" fillId="21" borderId="92" xfId="0" applyFont="1" applyFill="1" applyBorder="1" applyAlignment="1">
      <alignment horizontal="center" vertical="center"/>
    </xf>
    <xf numFmtId="0" fontId="16" fillId="0" borderId="61" xfId="0" applyFont="1" applyBorder="1" applyAlignment="1">
      <alignment horizontal="center" vertical="center"/>
    </xf>
    <xf numFmtId="0" fontId="22" fillId="21" borderId="13" xfId="0" applyFont="1" applyFill="1" applyBorder="1" applyAlignment="1">
      <alignment horizontal="left" vertical="center"/>
    </xf>
    <xf numFmtId="0" fontId="16" fillId="51" borderId="13" xfId="0" applyFont="1" applyFill="1" applyBorder="1" applyAlignment="1">
      <alignment horizontal="left" vertical="center"/>
    </xf>
    <xf numFmtId="0" fontId="22" fillId="21" borderId="28" xfId="0" applyFont="1" applyFill="1" applyBorder="1" applyAlignment="1">
      <alignment horizontal="left" vertical="center"/>
    </xf>
    <xf numFmtId="0" fontId="22" fillId="21" borderId="58" xfId="0" applyFont="1" applyFill="1" applyBorder="1" applyAlignment="1">
      <alignment horizontal="left" vertical="center"/>
    </xf>
    <xf numFmtId="0" fontId="25" fillId="23" borderId="0" xfId="0" applyFont="1" applyFill="1">
      <alignment vertical="center"/>
    </xf>
    <xf numFmtId="0" fontId="22" fillId="0" borderId="0" xfId="0" applyFont="1" applyAlignment="1">
      <alignment horizontal="left" vertical="center"/>
    </xf>
    <xf numFmtId="0" fontId="22" fillId="0" borderId="0" xfId="0" applyFont="1">
      <alignment vertical="center"/>
    </xf>
    <xf numFmtId="0" fontId="8" fillId="23" borderId="0" xfId="0" applyFont="1" applyFill="1" applyAlignment="1">
      <alignment horizontal="left" vertical="center"/>
    </xf>
    <xf numFmtId="0" fontId="16" fillId="12" borderId="0" xfId="3" applyFill="1">
      <alignment vertical="center"/>
    </xf>
    <xf numFmtId="0" fontId="21" fillId="12" borderId="0" xfId="3" applyFont="1" applyFill="1" applyAlignment="1">
      <alignment horizontal="center" vertical="center" wrapText="1"/>
    </xf>
    <xf numFmtId="0" fontId="21" fillId="12" borderId="0" xfId="3" applyFont="1" applyFill="1" applyAlignment="1">
      <alignment vertical="center" wrapText="1"/>
    </xf>
    <xf numFmtId="0" fontId="18" fillId="12" borderId="0" xfId="3" applyFont="1" applyFill="1" applyAlignment="1">
      <alignment vertical="center" wrapText="1"/>
    </xf>
    <xf numFmtId="0" fontId="41" fillId="12" borderId="0" xfId="0" applyFont="1" applyFill="1" applyAlignment="1">
      <alignment vertical="center" wrapText="1"/>
    </xf>
    <xf numFmtId="0" fontId="16" fillId="23" borderId="0" xfId="3" applyFill="1" applyAlignment="1">
      <alignment horizontal="left" vertical="center"/>
    </xf>
    <xf numFmtId="0" fontId="16" fillId="12" borderId="0" xfId="3" applyFill="1" applyAlignment="1">
      <alignment horizontal="right" vertical="center"/>
    </xf>
    <xf numFmtId="0" fontId="0" fillId="23" borderId="0" xfId="0" applyFill="1" applyAlignment="1">
      <alignment horizontal="right" vertical="center"/>
    </xf>
    <xf numFmtId="0" fontId="12" fillId="12" borderId="0" xfId="0" applyFont="1" applyFill="1" applyAlignment="1">
      <alignment horizontal="left" vertical="center" wrapText="1"/>
    </xf>
    <xf numFmtId="0" fontId="24" fillId="2" borderId="132" xfId="0" applyFont="1" applyFill="1" applyBorder="1" applyAlignment="1">
      <alignment horizontal="left" vertical="center"/>
    </xf>
    <xf numFmtId="180" fontId="0" fillId="23" borderId="0" xfId="0" applyNumberFormat="1" applyFill="1" applyAlignment="1">
      <alignment horizontal="center" vertical="center"/>
    </xf>
    <xf numFmtId="0" fontId="16" fillId="12" borderId="0" xfId="0" applyFont="1" applyFill="1" applyAlignment="1">
      <alignment horizontal="left" vertical="center" wrapText="1"/>
    </xf>
    <xf numFmtId="0" fontId="32" fillId="12" borderId="69" xfId="0" applyFont="1" applyFill="1" applyBorder="1">
      <alignment vertical="center"/>
    </xf>
    <xf numFmtId="0" fontId="32" fillId="12" borderId="72" xfId="0" applyFont="1" applyFill="1" applyBorder="1">
      <alignment vertical="center"/>
    </xf>
    <xf numFmtId="0" fontId="32" fillId="12" borderId="110" xfId="0" applyFont="1" applyFill="1" applyBorder="1">
      <alignment vertical="center"/>
    </xf>
    <xf numFmtId="0" fontId="0" fillId="2" borderId="8" xfId="0" applyFill="1" applyBorder="1" applyAlignment="1">
      <alignment horizontal="center" vertical="center"/>
    </xf>
    <xf numFmtId="0" fontId="16" fillId="12" borderId="52" xfId="0" applyFont="1" applyFill="1" applyBorder="1">
      <alignment vertical="center"/>
    </xf>
    <xf numFmtId="0" fontId="24" fillId="2" borderId="6" xfId="0" applyFont="1" applyFill="1" applyBorder="1">
      <alignment vertical="center"/>
    </xf>
    <xf numFmtId="0" fontId="32" fillId="12" borderId="55" xfId="0" applyFont="1" applyFill="1" applyBorder="1">
      <alignment vertical="center"/>
    </xf>
    <xf numFmtId="0" fontId="32" fillId="12" borderId="14" xfId="0" applyFont="1" applyFill="1" applyBorder="1">
      <alignment vertical="center"/>
    </xf>
    <xf numFmtId="0" fontId="32" fillId="12" borderId="81" xfId="0" applyFont="1" applyFill="1" applyBorder="1">
      <alignment vertical="center"/>
    </xf>
    <xf numFmtId="0" fontId="16" fillId="12" borderId="10" xfId="0" applyFont="1" applyFill="1" applyBorder="1">
      <alignment vertical="center"/>
    </xf>
    <xf numFmtId="0" fontId="16" fillId="12" borderId="23" xfId="0" applyFont="1" applyFill="1" applyBorder="1">
      <alignment vertical="center"/>
    </xf>
    <xf numFmtId="0" fontId="24" fillId="2" borderId="94" xfId="0" applyFont="1" applyFill="1" applyBorder="1">
      <alignment vertical="center"/>
    </xf>
    <xf numFmtId="0" fontId="32" fillId="12" borderId="93" xfId="0" applyFont="1" applyFill="1" applyBorder="1">
      <alignment vertical="center"/>
    </xf>
    <xf numFmtId="0" fontId="32" fillId="12" borderId="64" xfId="0" applyFont="1" applyFill="1" applyBorder="1">
      <alignment vertical="center"/>
    </xf>
    <xf numFmtId="0" fontId="32" fillId="12" borderId="68" xfId="0" applyFont="1" applyFill="1" applyBorder="1">
      <alignment vertical="center"/>
    </xf>
    <xf numFmtId="0" fontId="24" fillId="2" borderId="6" xfId="0" applyFont="1" applyFill="1" applyBorder="1" applyAlignment="1">
      <alignment vertical="center" wrapText="1"/>
    </xf>
    <xf numFmtId="0" fontId="32" fillId="12" borderId="0" xfId="0" applyFont="1" applyFill="1">
      <alignment vertical="center"/>
    </xf>
    <xf numFmtId="0" fontId="32" fillId="12" borderId="21" xfId="0" applyFont="1" applyFill="1" applyBorder="1">
      <alignment vertical="center"/>
    </xf>
    <xf numFmtId="0" fontId="24" fillId="2" borderId="132" xfId="0" applyFont="1" applyFill="1" applyBorder="1" applyAlignment="1">
      <alignment vertical="center" wrapText="1"/>
    </xf>
    <xf numFmtId="0" fontId="11" fillId="12" borderId="0" xfId="0" applyFont="1" applyFill="1">
      <alignment vertical="center"/>
    </xf>
    <xf numFmtId="0" fontId="11" fillId="12" borderId="0" xfId="0" applyFont="1" applyFill="1" applyAlignment="1">
      <alignment horizontal="center" vertical="center"/>
    </xf>
    <xf numFmtId="0" fontId="9" fillId="12" borderId="0" xfId="0" applyFont="1" applyFill="1">
      <alignment vertical="center"/>
    </xf>
    <xf numFmtId="0" fontId="17" fillId="0" borderId="0" xfId="0" applyFont="1" applyAlignment="1">
      <alignment horizontal="left" vertical="center" wrapText="1"/>
    </xf>
    <xf numFmtId="0" fontId="12" fillId="0" borderId="139" xfId="0" applyFont="1" applyBorder="1" applyAlignment="1">
      <alignment horizontal="left"/>
    </xf>
    <xf numFmtId="0" fontId="40" fillId="0" borderId="0" xfId="0" applyFont="1" applyAlignment="1">
      <alignment horizontal="left" vertical="center"/>
    </xf>
    <xf numFmtId="0" fontId="17" fillId="21" borderId="91" xfId="0" applyFont="1" applyFill="1" applyBorder="1" applyAlignment="1">
      <alignment horizontal="left" vertical="center" wrapText="1"/>
    </xf>
    <xf numFmtId="0" fontId="17" fillId="21" borderId="128" xfId="0" applyFont="1" applyFill="1" applyBorder="1" applyAlignment="1">
      <alignment horizontal="left" vertical="center" wrapText="1"/>
    </xf>
    <xf numFmtId="0" fontId="17" fillId="21" borderId="0" xfId="0" applyFont="1" applyFill="1" applyAlignment="1">
      <alignment horizontal="left" vertical="center" wrapText="1"/>
    </xf>
    <xf numFmtId="0" fontId="17" fillId="21" borderId="91" xfId="0" applyFont="1" applyFill="1" applyBorder="1" applyAlignment="1">
      <alignment horizontal="left" vertical="center"/>
    </xf>
    <xf numFmtId="0" fontId="17" fillId="21" borderId="139" xfId="0" applyFont="1" applyFill="1" applyBorder="1" applyAlignment="1">
      <alignment horizontal="left" vertical="center" wrapText="1"/>
    </xf>
    <xf numFmtId="0" fontId="22" fillId="2" borderId="131" xfId="0" applyFont="1" applyFill="1" applyBorder="1" applyAlignment="1">
      <alignment horizontal="center" vertical="center"/>
    </xf>
    <xf numFmtId="0" fontId="8" fillId="2" borderId="131" xfId="0" applyFont="1" applyFill="1" applyBorder="1" applyAlignment="1">
      <alignment horizontal="center" vertical="center" wrapText="1"/>
    </xf>
    <xf numFmtId="0" fontId="8" fillId="12" borderId="129" xfId="0" applyFont="1" applyFill="1" applyBorder="1" applyAlignment="1">
      <alignment horizontal="center" vertical="center"/>
    </xf>
    <xf numFmtId="0" fontId="8" fillId="12" borderId="91" xfId="0" applyFont="1" applyFill="1" applyBorder="1" applyAlignment="1">
      <alignment horizontal="center" vertical="center" wrapText="1"/>
    </xf>
    <xf numFmtId="0" fontId="8" fillId="12" borderId="131" xfId="0" applyFont="1" applyFill="1" applyBorder="1" applyAlignment="1">
      <alignment horizontal="center" vertical="center" wrapText="1"/>
    </xf>
    <xf numFmtId="0" fontId="17" fillId="12" borderId="0" xfId="0" applyFont="1" applyFill="1">
      <alignment vertical="center"/>
    </xf>
    <xf numFmtId="0" fontId="17" fillId="23" borderId="0" xfId="0" applyFont="1" applyFill="1">
      <alignment vertical="center"/>
    </xf>
    <xf numFmtId="0" fontId="8" fillId="12" borderId="96" xfId="0" applyFont="1" applyFill="1" applyBorder="1" applyAlignment="1">
      <alignment horizontal="center" vertical="center"/>
    </xf>
    <xf numFmtId="0" fontId="8" fillId="12" borderId="132" xfId="0" applyFont="1" applyFill="1" applyBorder="1" applyAlignment="1">
      <alignment horizontal="center" vertical="center" wrapText="1"/>
    </xf>
    <xf numFmtId="0" fontId="0" fillId="0" borderId="132" xfId="0" applyBorder="1" applyAlignment="1">
      <alignment horizontal="center" vertical="center" wrapText="1"/>
    </xf>
    <xf numFmtId="0" fontId="0" fillId="12" borderId="0" xfId="0" applyFill="1" applyAlignment="1">
      <alignment horizontal="left" wrapText="1"/>
    </xf>
    <xf numFmtId="0" fontId="12" fillId="12" borderId="0" xfId="0" applyFont="1" applyFill="1" applyAlignment="1">
      <alignment horizontal="left"/>
    </xf>
    <xf numFmtId="0" fontId="12" fillId="12" borderId="0" xfId="0" applyFont="1" applyFill="1" applyAlignment="1">
      <alignment horizontal="left" wrapText="1"/>
    </xf>
    <xf numFmtId="0" fontId="9" fillId="23" borderId="0" xfId="0" applyFont="1" applyFill="1">
      <alignment vertical="center"/>
    </xf>
    <xf numFmtId="0" fontId="9" fillId="23" borderId="0" xfId="0" applyFont="1" applyFill="1" applyAlignment="1">
      <alignment horizontal="left" vertical="center"/>
    </xf>
    <xf numFmtId="0" fontId="43" fillId="12" borderId="0" xfId="0" applyFont="1" applyFill="1" applyAlignment="1">
      <alignment horizontal="left" vertical="top" wrapText="1"/>
    </xf>
    <xf numFmtId="0" fontId="16" fillId="12" borderId="0" xfId="0" applyFont="1" applyFill="1" applyAlignment="1">
      <alignment vertical="center" wrapText="1"/>
    </xf>
    <xf numFmtId="0" fontId="62" fillId="12" borderId="0" xfId="0" applyFont="1" applyFill="1" applyAlignment="1">
      <alignment vertical="center" wrapText="1"/>
    </xf>
    <xf numFmtId="0" fontId="62" fillId="23" borderId="0" xfId="0" applyFont="1" applyFill="1" applyAlignment="1">
      <alignment horizontal="center" vertical="center" wrapText="1"/>
    </xf>
    <xf numFmtId="0" fontId="16" fillId="2" borderId="32" xfId="0" applyFont="1" applyFill="1" applyBorder="1" applyAlignment="1">
      <alignment horizontal="center" vertical="center"/>
    </xf>
    <xf numFmtId="0" fontId="16" fillId="2" borderId="45" xfId="0" applyFont="1" applyFill="1" applyBorder="1" applyAlignment="1">
      <alignment horizontal="center" vertical="center" wrapText="1"/>
    </xf>
    <xf numFmtId="0" fontId="16" fillId="12" borderId="131" xfId="0" applyFont="1" applyFill="1" applyBorder="1" applyAlignment="1">
      <alignment horizontal="center" vertical="center"/>
    </xf>
    <xf numFmtId="0" fontId="16" fillId="12" borderId="132" xfId="0" applyFont="1" applyFill="1" applyBorder="1" applyAlignment="1">
      <alignment horizontal="center" vertical="center"/>
    </xf>
    <xf numFmtId="0" fontId="16" fillId="12" borderId="42" xfId="0" applyFont="1" applyFill="1" applyBorder="1" applyAlignment="1">
      <alignment horizontal="center" vertical="center"/>
    </xf>
    <xf numFmtId="0" fontId="16" fillId="12" borderId="50" xfId="0" applyFont="1" applyFill="1" applyBorder="1" applyAlignment="1">
      <alignment horizontal="center" vertical="center"/>
    </xf>
    <xf numFmtId="0" fontId="16" fillId="41" borderId="206" xfId="0" applyFont="1" applyFill="1" applyBorder="1">
      <alignment vertical="center"/>
    </xf>
    <xf numFmtId="0" fontId="16" fillId="13" borderId="0" xfId="0" applyFont="1" applyFill="1" applyAlignment="1">
      <alignment horizontal="center" vertical="center"/>
    </xf>
    <xf numFmtId="0" fontId="9" fillId="13" borderId="0" xfId="0" applyFont="1" applyFill="1" applyAlignment="1">
      <alignment horizontal="right" vertical="center"/>
    </xf>
    <xf numFmtId="0" fontId="9" fillId="13" borderId="0" xfId="0" applyFont="1" applyFill="1">
      <alignment vertical="center"/>
    </xf>
    <xf numFmtId="0" fontId="9" fillId="12" borderId="0" xfId="0" applyFont="1" applyFill="1" applyAlignment="1">
      <alignment vertical="center" wrapText="1"/>
    </xf>
    <xf numFmtId="0" fontId="9" fillId="12" borderId="0" xfId="0" applyFont="1" applyFill="1" applyAlignment="1">
      <alignment horizontal="left" vertical="center"/>
    </xf>
    <xf numFmtId="49" fontId="12" fillId="13" borderId="0" xfId="0" applyNumberFormat="1" applyFont="1" applyFill="1" applyAlignment="1">
      <alignment horizontal="right" vertical="center"/>
    </xf>
    <xf numFmtId="0" fontId="9" fillId="2" borderId="200" xfId="0" applyFont="1" applyFill="1" applyBorder="1" applyAlignment="1">
      <alignment horizontal="center" vertical="center"/>
    </xf>
    <xf numFmtId="0" fontId="24" fillId="2" borderId="201" xfId="0" applyFont="1" applyFill="1" applyBorder="1" applyAlignment="1">
      <alignment horizontal="left" vertical="center"/>
    </xf>
    <xf numFmtId="0" fontId="9" fillId="2" borderId="106" xfId="0" applyFont="1" applyFill="1" applyBorder="1" applyAlignment="1">
      <alignment horizontal="left" vertical="center"/>
    </xf>
    <xf numFmtId="0" fontId="9" fillId="2" borderId="72" xfId="0" applyFont="1" applyFill="1" applyBorder="1" applyAlignment="1">
      <alignment horizontal="left" vertical="center"/>
    </xf>
    <xf numFmtId="0" fontId="9" fillId="2" borderId="107" xfId="0" applyFont="1" applyFill="1" applyBorder="1" applyAlignment="1">
      <alignment horizontal="center" vertical="center"/>
    </xf>
    <xf numFmtId="0" fontId="9" fillId="2" borderId="202" xfId="0" applyFont="1" applyFill="1" applyBorder="1" applyAlignment="1">
      <alignment horizontal="center" vertical="center"/>
    </xf>
    <xf numFmtId="49" fontId="12" fillId="13" borderId="0" xfId="0" applyNumberFormat="1" applyFont="1" applyFill="1" applyAlignment="1">
      <alignment horizontal="center" vertical="center"/>
    </xf>
    <xf numFmtId="0" fontId="12" fillId="13" borderId="0" xfId="0" applyFont="1" applyFill="1" applyAlignment="1">
      <alignment horizontal="left" vertical="center"/>
    </xf>
    <xf numFmtId="0" fontId="0" fillId="12" borderId="72" xfId="0" applyFill="1" applyBorder="1" applyAlignment="1">
      <alignment horizontal="left" vertical="center"/>
    </xf>
    <xf numFmtId="0" fontId="19" fillId="12" borderId="72" xfId="0" applyFont="1" applyFill="1" applyBorder="1">
      <alignment vertical="center"/>
    </xf>
    <xf numFmtId="0" fontId="19" fillId="12" borderId="14" xfId="0" applyFont="1" applyFill="1" applyBorder="1">
      <alignment vertical="center"/>
    </xf>
    <xf numFmtId="0" fontId="0" fillId="12" borderId="124" xfId="0" applyFill="1" applyBorder="1">
      <alignment vertical="center"/>
    </xf>
    <xf numFmtId="0" fontId="0" fillId="12" borderId="106" xfId="0" applyFill="1" applyBorder="1">
      <alignment vertical="center"/>
    </xf>
    <xf numFmtId="0" fontId="0" fillId="12" borderId="61" xfId="0" applyFill="1" applyBorder="1">
      <alignment vertical="center"/>
    </xf>
    <xf numFmtId="0" fontId="12" fillId="13" borderId="0" xfId="0" applyFont="1" applyFill="1">
      <alignment vertical="center"/>
    </xf>
    <xf numFmtId="180" fontId="9" fillId="13" borderId="131" xfId="20" applyNumberFormat="1" applyFont="1" applyFill="1" applyBorder="1" applyAlignment="1" applyProtection="1">
      <alignment horizontal="left" vertical="center" shrinkToFit="1"/>
    </xf>
    <xf numFmtId="0" fontId="17" fillId="2" borderId="48" xfId="0" applyFont="1" applyFill="1" applyBorder="1" applyAlignment="1">
      <alignment horizontal="center" vertical="center" wrapText="1"/>
    </xf>
    <xf numFmtId="0" fontId="17" fillId="12" borderId="132" xfId="0" applyFont="1" applyFill="1" applyBorder="1" applyAlignment="1">
      <alignment horizontal="center" vertical="center"/>
    </xf>
    <xf numFmtId="0" fontId="17" fillId="12" borderId="40" xfId="0" applyFont="1" applyFill="1" applyBorder="1" applyAlignment="1">
      <alignment horizontal="center" vertical="center" shrinkToFit="1"/>
    </xf>
    <xf numFmtId="0" fontId="17" fillId="12" borderId="41" xfId="0" applyFont="1" applyFill="1" applyBorder="1" applyAlignment="1">
      <alignment horizontal="center" vertical="center" wrapText="1"/>
    </xf>
    <xf numFmtId="0" fontId="17" fillId="12" borderId="41" xfId="0" applyFont="1" applyFill="1" applyBorder="1" applyAlignment="1">
      <alignment horizontal="center" vertical="center" shrinkToFit="1"/>
    </xf>
    <xf numFmtId="0" fontId="17" fillId="12" borderId="42" xfId="0" applyFont="1" applyFill="1" applyBorder="1" applyAlignment="1">
      <alignment horizontal="center" vertical="center" shrinkToFit="1"/>
    </xf>
    <xf numFmtId="0" fontId="17" fillId="12" borderId="44" xfId="0" applyFont="1" applyFill="1" applyBorder="1" applyAlignment="1">
      <alignment horizontal="center" vertical="center" shrinkToFit="1"/>
    </xf>
    <xf numFmtId="0" fontId="17" fillId="12" borderId="158" xfId="0" applyFont="1" applyFill="1" applyBorder="1" applyAlignment="1">
      <alignment horizontal="center" vertical="center" wrapText="1"/>
    </xf>
    <xf numFmtId="0" fontId="17" fillId="12" borderId="158" xfId="0" applyFont="1" applyFill="1" applyBorder="1" applyAlignment="1">
      <alignment horizontal="center" vertical="center" shrinkToFit="1"/>
    </xf>
    <xf numFmtId="0" fontId="17" fillId="12" borderId="62" xfId="0" applyFont="1" applyFill="1" applyBorder="1" applyAlignment="1">
      <alignment horizontal="center" vertical="center" shrinkToFit="1"/>
    </xf>
    <xf numFmtId="0" fontId="17" fillId="2" borderId="132" xfId="0" applyFont="1" applyFill="1" applyBorder="1" applyAlignment="1">
      <alignment horizontal="center" vertical="center"/>
    </xf>
    <xf numFmtId="0" fontId="43" fillId="12" borderId="0" xfId="0" applyFont="1" applyFill="1">
      <alignment vertical="center"/>
    </xf>
    <xf numFmtId="179" fontId="0" fillId="12" borderId="0" xfId="0" applyNumberFormat="1" applyFill="1">
      <alignment vertical="center"/>
    </xf>
    <xf numFmtId="0" fontId="16" fillId="13" borderId="0" xfId="0" applyFont="1" applyFill="1" applyAlignment="1">
      <alignment horizontal="right" vertical="center"/>
    </xf>
    <xf numFmtId="49" fontId="16" fillId="23" borderId="0" xfId="0" applyNumberFormat="1" applyFont="1" applyFill="1" applyAlignment="1">
      <alignment horizontal="right" vertical="center"/>
    </xf>
    <xf numFmtId="0" fontId="16" fillId="12" borderId="0" xfId="0" applyFont="1" applyFill="1" applyAlignment="1">
      <alignment horizontal="right" vertical="center"/>
    </xf>
    <xf numFmtId="49" fontId="16" fillId="13" borderId="0" xfId="0" applyNumberFormat="1" applyFont="1" applyFill="1" applyAlignment="1">
      <alignment horizontal="right" vertical="center"/>
    </xf>
    <xf numFmtId="0" fontId="16" fillId="12" borderId="98" xfId="0" applyFont="1" applyFill="1" applyBorder="1">
      <alignment vertical="center"/>
    </xf>
    <xf numFmtId="0" fontId="16" fillId="12" borderId="132" xfId="0" applyFont="1" applyFill="1" applyBorder="1" applyAlignment="1">
      <alignment horizontal="left" vertical="center"/>
    </xf>
    <xf numFmtId="0" fontId="16" fillId="12" borderId="133" xfId="0" applyFont="1" applyFill="1" applyBorder="1" applyAlignment="1">
      <alignment horizontal="left" vertical="center"/>
    </xf>
    <xf numFmtId="0" fontId="16" fillId="12" borderId="21" xfId="0" applyFont="1" applyFill="1" applyBorder="1" applyAlignment="1">
      <alignment horizontal="left" vertical="center"/>
    </xf>
    <xf numFmtId="0" fontId="16" fillId="21" borderId="70" xfId="0" applyFont="1" applyFill="1" applyBorder="1" applyAlignment="1">
      <alignment horizontal="left" vertical="center"/>
    </xf>
    <xf numFmtId="0" fontId="16" fillId="2" borderId="26" xfId="0" applyFont="1" applyFill="1" applyBorder="1" applyAlignment="1">
      <alignment horizontal="center" vertical="center" shrinkToFit="1"/>
    </xf>
    <xf numFmtId="0" fontId="16" fillId="2" borderId="19" xfId="0" applyFont="1" applyFill="1" applyBorder="1" applyAlignment="1">
      <alignment horizontal="center" vertical="center" wrapText="1"/>
    </xf>
    <xf numFmtId="0" fontId="16" fillId="12" borderId="126" xfId="0" applyFont="1" applyFill="1" applyBorder="1" applyAlignment="1">
      <alignment horizontal="left" vertical="center"/>
    </xf>
    <xf numFmtId="0" fontId="16" fillId="12" borderId="0" xfId="0" applyFont="1" applyFill="1" applyAlignment="1"/>
    <xf numFmtId="0" fontId="16" fillId="12" borderId="98" xfId="0" applyFont="1" applyFill="1" applyBorder="1" applyAlignment="1"/>
    <xf numFmtId="0" fontId="16" fillId="12" borderId="0" xfId="0" applyFont="1" applyFill="1" applyAlignment="1">
      <alignment wrapText="1"/>
    </xf>
    <xf numFmtId="0" fontId="16" fillId="13" borderId="0" xfId="0" applyFont="1" applyFill="1" applyAlignment="1">
      <alignment horizontal="left" vertical="center"/>
    </xf>
    <xf numFmtId="0" fontId="16" fillId="12" borderId="140" xfId="0" applyFont="1" applyFill="1" applyBorder="1" applyAlignment="1">
      <alignment horizontal="left" vertical="center"/>
    </xf>
    <xf numFmtId="179" fontId="16" fillId="12" borderId="0" xfId="0" applyNumberFormat="1" applyFont="1" applyFill="1">
      <alignment vertical="center"/>
    </xf>
    <xf numFmtId="0" fontId="16" fillId="12" borderId="34" xfId="0" applyFont="1" applyFill="1" applyBorder="1" applyAlignment="1" applyProtection="1">
      <alignment horizontal="left"/>
      <protection locked="0"/>
    </xf>
    <xf numFmtId="0" fontId="16" fillId="23" borderId="0" xfId="0" applyFont="1" applyFill="1" applyAlignment="1">
      <alignment horizontal="right" vertical="center"/>
    </xf>
    <xf numFmtId="0" fontId="51" fillId="23" borderId="0" xfId="0" applyFont="1" applyFill="1">
      <alignment vertical="center"/>
    </xf>
    <xf numFmtId="0" fontId="30" fillId="23" borderId="0" xfId="0" applyFont="1" applyFill="1">
      <alignment vertical="center"/>
    </xf>
    <xf numFmtId="0" fontId="79" fillId="23" borderId="0" xfId="0" applyFont="1" applyFill="1">
      <alignment vertical="center"/>
    </xf>
    <xf numFmtId="0" fontId="80" fillId="23" borderId="0" xfId="0" applyFont="1" applyFill="1">
      <alignment vertical="center"/>
    </xf>
    <xf numFmtId="0" fontId="81" fillId="23" borderId="0" xfId="0" applyFont="1" applyFill="1" applyAlignment="1">
      <alignment horizontal="right" vertical="center"/>
    </xf>
    <xf numFmtId="0" fontId="41" fillId="23" borderId="0" xfId="0" applyFont="1" applyFill="1" applyAlignment="1">
      <alignment horizontal="right" vertical="center"/>
    </xf>
    <xf numFmtId="0" fontId="16" fillId="21" borderId="132" xfId="0" applyFont="1" applyFill="1" applyBorder="1" applyAlignment="1">
      <alignment horizontal="left" vertical="center"/>
    </xf>
    <xf numFmtId="0" fontId="16" fillId="21" borderId="133" xfId="0" applyFont="1" applyFill="1" applyBorder="1" applyAlignment="1">
      <alignment horizontal="left" vertical="center"/>
    </xf>
    <xf numFmtId="0" fontId="16" fillId="21" borderId="64" xfId="0" applyFont="1" applyFill="1" applyBorder="1" applyAlignment="1">
      <alignment horizontal="left" vertical="center"/>
    </xf>
    <xf numFmtId="0" fontId="16" fillId="21" borderId="68" xfId="0" applyFont="1" applyFill="1" applyBorder="1" applyAlignment="1">
      <alignment horizontal="left" vertical="center"/>
    </xf>
    <xf numFmtId="0" fontId="18" fillId="12" borderId="0" xfId="0" applyFont="1" applyFill="1" applyAlignment="1">
      <alignment horizontal="center" vertical="center"/>
    </xf>
    <xf numFmtId="0" fontId="0" fillId="39" borderId="206" xfId="0" applyFill="1" applyBorder="1">
      <alignment vertical="center"/>
    </xf>
    <xf numFmtId="0" fontId="0" fillId="23" borderId="0" xfId="0" applyFill="1" applyAlignment="1">
      <alignment horizontal="right" vertical="center" wrapText="1"/>
    </xf>
    <xf numFmtId="0" fontId="44" fillId="23" borderId="0" xfId="0" applyFont="1" applyFill="1" applyAlignment="1">
      <alignment horizontal="right" vertical="center"/>
    </xf>
    <xf numFmtId="0" fontId="9" fillId="38" borderId="0" xfId="0" applyFont="1" applyFill="1">
      <alignment vertical="center"/>
    </xf>
    <xf numFmtId="0" fontId="0" fillId="38" borderId="0" xfId="0" applyFill="1" applyAlignment="1">
      <alignment horizontal="right" vertical="center"/>
    </xf>
    <xf numFmtId="0" fontId="9" fillId="0" borderId="0" xfId="0" applyFont="1">
      <alignment vertical="center"/>
    </xf>
    <xf numFmtId="0" fontId="0" fillId="38" borderId="0" xfId="0" applyFill="1">
      <alignment vertical="center"/>
    </xf>
    <xf numFmtId="0" fontId="16" fillId="38" borderId="0" xfId="0" applyFont="1" applyFill="1" applyAlignment="1">
      <alignment vertical="center" wrapText="1"/>
    </xf>
    <xf numFmtId="0" fontId="16" fillId="37" borderId="0" xfId="0" applyFont="1" applyFill="1" applyAlignment="1">
      <alignment vertical="center" wrapText="1"/>
    </xf>
    <xf numFmtId="49" fontId="27" fillId="2" borderId="27" xfId="0" applyNumberFormat="1" applyFont="1" applyFill="1" applyBorder="1" applyAlignment="1">
      <alignment horizontal="center" vertical="center" wrapText="1"/>
    </xf>
    <xf numFmtId="49" fontId="27" fillId="2" borderId="134" xfId="0" applyNumberFormat="1" applyFont="1" applyFill="1" applyBorder="1" applyAlignment="1">
      <alignment horizontal="center" vertical="center" wrapText="1"/>
    </xf>
    <xf numFmtId="0" fontId="16" fillId="21" borderId="1" xfId="0" applyFont="1" applyFill="1" applyBorder="1" applyAlignment="1">
      <alignment horizontal="center" vertical="center"/>
    </xf>
    <xf numFmtId="0" fontId="0" fillId="23" borderId="98" xfId="0" applyFill="1" applyBorder="1">
      <alignment vertical="center"/>
    </xf>
    <xf numFmtId="0" fontId="0" fillId="0" borderId="131" xfId="0" applyBorder="1" applyAlignment="1">
      <alignment horizontal="center" vertical="center"/>
    </xf>
    <xf numFmtId="0" fontId="0" fillId="21" borderId="131" xfId="0" applyFill="1" applyBorder="1">
      <alignment vertical="center"/>
    </xf>
    <xf numFmtId="0" fontId="0" fillId="0" borderId="0" xfId="0" applyAlignment="1">
      <alignment horizontal="right" vertical="center" wrapText="1"/>
    </xf>
    <xf numFmtId="0" fontId="44" fillId="0" borderId="0" xfId="0" applyFont="1" applyAlignment="1">
      <alignment horizontal="right" vertical="center"/>
    </xf>
    <xf numFmtId="0" fontId="0" fillId="8" borderId="0" xfId="0" applyFill="1">
      <alignment vertical="center"/>
    </xf>
    <xf numFmtId="0" fontId="10" fillId="8" borderId="0" xfId="0" applyFont="1" applyFill="1" applyAlignment="1">
      <alignment horizontal="center" vertical="center"/>
    </xf>
    <xf numFmtId="0" fontId="9" fillId="8" borderId="0" xfId="0" applyFont="1" applyFill="1">
      <alignment vertical="center"/>
    </xf>
    <xf numFmtId="0" fontId="0" fillId="8" borderId="0" xfId="0" applyFill="1" applyAlignment="1">
      <alignment horizontal="right" vertical="center"/>
    </xf>
    <xf numFmtId="0" fontId="16" fillId="8" borderId="0" xfId="0" applyFont="1" applyFill="1" applyAlignment="1">
      <alignment vertical="center" wrapText="1"/>
    </xf>
    <xf numFmtId="0" fontId="16" fillId="8" borderId="0" xfId="0" applyFont="1" applyFill="1" applyAlignment="1">
      <alignment horizontal="left" vertical="center" wrapText="1"/>
    </xf>
    <xf numFmtId="0" fontId="16" fillId="28" borderId="0" xfId="0" applyFont="1" applyFill="1" applyAlignment="1">
      <alignment horizontal="left" vertical="center" wrapText="1"/>
    </xf>
    <xf numFmtId="0" fontId="16" fillId="8" borderId="139" xfId="0" applyFont="1" applyFill="1" applyBorder="1" applyAlignment="1">
      <alignment horizontal="left" vertical="center" wrapText="1"/>
    </xf>
    <xf numFmtId="0" fontId="24" fillId="29" borderId="44" xfId="0" applyFont="1" applyFill="1" applyBorder="1">
      <alignment vertical="center"/>
    </xf>
    <xf numFmtId="0" fontId="16" fillId="29" borderId="158" xfId="0" applyFont="1" applyFill="1" applyBorder="1" applyAlignment="1">
      <alignment horizontal="center" vertical="center" wrapText="1"/>
    </xf>
    <xf numFmtId="0" fontId="17" fillId="30" borderId="158" xfId="0" applyFont="1" applyFill="1" applyBorder="1" applyAlignment="1">
      <alignment horizontal="center" vertical="center" wrapText="1"/>
    </xf>
    <xf numFmtId="0" fontId="16" fillId="28" borderId="131" xfId="0" applyFont="1" applyFill="1" applyBorder="1" applyAlignment="1">
      <alignment horizontal="center" vertical="center"/>
    </xf>
    <xf numFmtId="0" fontId="16" fillId="28" borderId="131" xfId="0" applyFont="1" applyFill="1" applyBorder="1" applyAlignment="1">
      <alignment vertical="center" wrapText="1"/>
    </xf>
    <xf numFmtId="0" fontId="16" fillId="29" borderId="132" xfId="0" applyFont="1" applyFill="1" applyBorder="1" applyAlignment="1">
      <alignment vertical="center" wrapText="1"/>
    </xf>
    <xf numFmtId="0" fontId="0" fillId="49" borderId="0" xfId="0" applyFill="1" applyAlignment="1">
      <alignment vertical="center" wrapText="1"/>
    </xf>
    <xf numFmtId="0" fontId="16" fillId="29" borderId="131" xfId="0" applyFont="1" applyFill="1" applyBorder="1" applyAlignment="1">
      <alignment vertical="center" wrapText="1"/>
    </xf>
    <xf numFmtId="0" fontId="65" fillId="9" borderId="132" xfId="0" applyFont="1" applyFill="1" applyBorder="1">
      <alignment vertical="center"/>
    </xf>
    <xf numFmtId="0" fontId="17" fillId="21" borderId="40" xfId="0" applyFont="1" applyFill="1" applyBorder="1" applyAlignment="1">
      <alignment horizontal="center" vertical="center" wrapText="1"/>
    </xf>
    <xf numFmtId="0" fontId="17" fillId="9" borderId="132" xfId="0" applyFont="1" applyFill="1" applyBorder="1" applyAlignment="1">
      <alignment horizontal="center" vertical="center"/>
    </xf>
    <xf numFmtId="0" fontId="16" fillId="21" borderId="1" xfId="0" applyFont="1" applyFill="1" applyBorder="1" applyAlignment="1">
      <alignment horizontal="center" vertical="center" wrapText="1"/>
    </xf>
    <xf numFmtId="0" fontId="16" fillId="21" borderId="1" xfId="0" applyFont="1" applyFill="1" applyBorder="1" applyAlignment="1">
      <alignment horizontal="center" vertical="center" shrinkToFit="1"/>
    </xf>
    <xf numFmtId="0" fontId="16" fillId="21" borderId="28" xfId="0" applyFont="1" applyFill="1" applyBorder="1" applyAlignment="1">
      <alignment horizontal="center" vertical="center" wrapText="1"/>
    </xf>
    <xf numFmtId="0" fontId="16" fillId="21" borderId="1" xfId="0" applyFont="1" applyFill="1" applyBorder="1" applyAlignment="1">
      <alignment horizontal="left" vertical="center" wrapText="1"/>
    </xf>
    <xf numFmtId="0" fontId="17" fillId="21" borderId="47" xfId="0" applyFont="1" applyFill="1" applyBorder="1" applyAlignment="1">
      <alignment horizontal="center" vertical="center" wrapText="1"/>
    </xf>
    <xf numFmtId="0" fontId="0" fillId="23" borderId="0" xfId="0" applyFill="1" applyAlignment="1">
      <alignment horizontal="left" wrapText="1"/>
    </xf>
    <xf numFmtId="0" fontId="50" fillId="18" borderId="131" xfId="0" applyFont="1" applyFill="1" applyBorder="1" applyAlignment="1" applyProtection="1">
      <alignment horizontal="center" vertical="center"/>
      <protection locked="0"/>
    </xf>
    <xf numFmtId="0" fontId="9" fillId="0" borderId="0" xfId="0" applyFont="1" applyAlignment="1">
      <alignment horizontal="right" vertical="center"/>
    </xf>
    <xf numFmtId="0" fontId="16" fillId="0" borderId="0" xfId="0" applyFont="1" applyAlignment="1">
      <alignment horizontal="right" vertical="center"/>
    </xf>
    <xf numFmtId="0" fontId="16" fillId="0" borderId="0" xfId="0" applyFont="1" applyAlignment="1">
      <alignment horizontal="left" vertical="center" indent="1"/>
    </xf>
    <xf numFmtId="0" fontId="17" fillId="0" borderId="0" xfId="0" applyFont="1">
      <alignment vertical="center"/>
    </xf>
    <xf numFmtId="0" fontId="16" fillId="0" borderId="0" xfId="0" applyFont="1" applyAlignment="1">
      <alignment horizontal="left" vertical="center" indent="2"/>
    </xf>
    <xf numFmtId="0" fontId="0" fillId="0" borderId="0" xfId="0" applyAlignment="1">
      <alignment horizontal="left" vertical="top" wrapText="1"/>
    </xf>
    <xf numFmtId="0" fontId="41" fillId="0" borderId="0" xfId="0" applyFont="1" applyAlignment="1">
      <alignment horizontal="right" vertical="center"/>
    </xf>
    <xf numFmtId="181" fontId="16" fillId="0" borderId="1" xfId="0" applyNumberFormat="1" applyFont="1" applyBorder="1" applyAlignment="1">
      <alignment horizontal="center" vertical="center"/>
    </xf>
    <xf numFmtId="182" fontId="16" fillId="0" borderId="14" xfId="0" applyNumberFormat="1" applyFont="1" applyBorder="1" applyAlignment="1">
      <alignment horizontal="center" vertical="center"/>
    </xf>
    <xf numFmtId="182" fontId="16" fillId="0" borderId="0" xfId="0" applyNumberFormat="1" applyFont="1" applyAlignment="1">
      <alignment horizontal="center" vertical="center"/>
    </xf>
    <xf numFmtId="176" fontId="16" fillId="0" borderId="0" xfId="0" applyNumberFormat="1" applyFont="1" applyAlignment="1">
      <alignment horizontal="center" vertical="center"/>
    </xf>
    <xf numFmtId="0" fontId="17" fillId="0" borderId="0" xfId="0" applyFont="1" applyAlignment="1">
      <alignment horizontal="left" vertical="center"/>
    </xf>
    <xf numFmtId="0" fontId="16" fillId="0" borderId="36" xfId="0" applyFont="1" applyBorder="1">
      <alignment vertical="center"/>
    </xf>
    <xf numFmtId="0" fontId="16" fillId="2" borderId="44" xfId="0" applyFont="1" applyFill="1" applyBorder="1" applyAlignment="1">
      <alignment horizontal="center" vertical="center"/>
    </xf>
    <xf numFmtId="0" fontId="16" fillId="2" borderId="158" xfId="0" applyFont="1" applyFill="1" applyBorder="1" applyAlignment="1">
      <alignment horizontal="center" vertical="center"/>
    </xf>
    <xf numFmtId="0" fontId="16" fillId="23" borderId="1" xfId="0" applyFont="1" applyFill="1" applyBorder="1" applyAlignment="1">
      <alignment horizontal="center" vertical="center"/>
    </xf>
    <xf numFmtId="56" fontId="16" fillId="23" borderId="1" xfId="0" applyNumberFormat="1" applyFont="1" applyFill="1" applyBorder="1" applyAlignment="1">
      <alignment horizontal="center" vertical="center" wrapText="1"/>
    </xf>
    <xf numFmtId="0" fontId="30" fillId="23" borderId="0" xfId="0" applyFont="1" applyFill="1" applyAlignment="1">
      <alignment horizontal="left" vertical="center"/>
    </xf>
    <xf numFmtId="0" fontId="30" fillId="0" borderId="0" xfId="0" applyFont="1">
      <alignment vertical="center"/>
    </xf>
    <xf numFmtId="0" fontId="21" fillId="12" borderId="0" xfId="0" applyFont="1" applyFill="1" applyAlignment="1">
      <alignment horizontal="left" vertical="center"/>
    </xf>
    <xf numFmtId="0" fontId="51" fillId="12" borderId="0" xfId="0" applyFont="1" applyFill="1">
      <alignment vertical="center"/>
    </xf>
    <xf numFmtId="0" fontId="87" fillId="12" borderId="0" xfId="0" applyFont="1" applyFill="1" applyAlignment="1">
      <alignment horizontal="left" vertical="center"/>
    </xf>
    <xf numFmtId="0" fontId="51" fillId="12" borderId="0" xfId="0" applyFont="1" applyFill="1" applyAlignment="1">
      <alignment horizontal="left" vertical="center"/>
    </xf>
    <xf numFmtId="0" fontId="41" fillId="23" borderId="0" xfId="0" applyFont="1" applyFill="1">
      <alignment vertical="center"/>
    </xf>
    <xf numFmtId="0" fontId="16" fillId="23" borderId="132" xfId="0" applyFont="1" applyFill="1" applyBorder="1" applyAlignment="1">
      <alignment horizontal="center" vertical="center"/>
    </xf>
    <xf numFmtId="0" fontId="0" fillId="12" borderId="0" xfId="0" applyFill="1" applyAlignment="1">
      <alignment horizontal="left" vertical="center" wrapText="1"/>
    </xf>
    <xf numFmtId="0" fontId="56" fillId="0" borderId="0" xfId="0" applyFont="1">
      <alignment vertical="center"/>
    </xf>
    <xf numFmtId="0" fontId="0" fillId="39" borderId="206" xfId="0" applyFill="1" applyBorder="1" applyAlignment="1">
      <alignment horizontal="center" vertical="center"/>
    </xf>
    <xf numFmtId="0" fontId="77" fillId="0" borderId="0" xfId="0" applyFont="1">
      <alignment vertical="center"/>
    </xf>
    <xf numFmtId="0" fontId="8" fillId="0" borderId="0" xfId="0" applyFont="1" applyAlignment="1">
      <alignment horizontal="left" vertical="center"/>
    </xf>
    <xf numFmtId="0" fontId="96" fillId="0" borderId="0" xfId="0" applyFont="1">
      <alignment vertical="center"/>
    </xf>
    <xf numFmtId="0" fontId="96" fillId="0" borderId="0" xfId="0" applyFont="1" applyAlignment="1">
      <alignment vertical="top" wrapText="1"/>
    </xf>
    <xf numFmtId="0" fontId="96" fillId="0" borderId="0" xfId="0" applyFont="1" applyAlignment="1">
      <alignment vertical="top"/>
    </xf>
    <xf numFmtId="0" fontId="16" fillId="0" borderId="0" xfId="0" applyFont="1" applyAlignment="1">
      <alignment horizontal="left" vertical="center" wrapText="1"/>
    </xf>
    <xf numFmtId="0" fontId="9" fillId="0" borderId="0" xfId="0" applyFont="1" applyAlignment="1">
      <alignment horizontal="center" vertical="center"/>
    </xf>
    <xf numFmtId="0" fontId="97" fillId="0" borderId="0" xfId="0" applyFont="1">
      <alignment vertical="center"/>
    </xf>
    <xf numFmtId="0" fontId="0" fillId="23" borderId="34" xfId="0" applyFill="1" applyBorder="1" applyAlignment="1" applyProtection="1">
      <alignment horizontal="left" vertical="center"/>
      <protection locked="0"/>
    </xf>
    <xf numFmtId="0" fontId="0" fillId="23" borderId="35" xfId="0" applyFill="1" applyBorder="1" applyAlignment="1" applyProtection="1">
      <alignment horizontal="left" vertical="center"/>
      <protection locked="0"/>
    </xf>
    <xf numFmtId="0" fontId="16" fillId="23" borderId="118" xfId="0" applyFont="1" applyFill="1" applyBorder="1" applyAlignment="1">
      <alignment horizontal="left" vertical="center"/>
    </xf>
    <xf numFmtId="0" fontId="0" fillId="23" borderId="79" xfId="0" applyFill="1" applyBorder="1" applyAlignment="1">
      <alignment horizontal="left" vertical="center"/>
    </xf>
    <xf numFmtId="0" fontId="50" fillId="23" borderId="79" xfId="21" applyFont="1" applyFill="1" applyBorder="1" applyAlignment="1">
      <alignment horizontal="left" vertical="center"/>
    </xf>
    <xf numFmtId="0" fontId="22" fillId="23" borderId="0" xfId="0" applyFont="1" applyFill="1" applyAlignment="1">
      <alignment horizontal="left" vertical="center" wrapText="1"/>
    </xf>
    <xf numFmtId="0" fontId="50" fillId="0" borderId="126" xfId="23" applyFont="1" applyBorder="1" applyAlignment="1" applyProtection="1">
      <alignment horizontal="left" vertical="center" wrapText="1"/>
      <protection locked="0"/>
    </xf>
    <xf numFmtId="185" fontId="0" fillId="23" borderId="131" xfId="24" applyNumberFormat="1" applyFont="1" applyFill="1" applyBorder="1">
      <alignment vertical="center"/>
    </xf>
    <xf numFmtId="0" fontId="0" fillId="23" borderId="0" xfId="0" applyFill="1" applyAlignment="1"/>
    <xf numFmtId="0" fontId="0" fillId="39" borderId="1" xfId="0" applyFill="1" applyBorder="1" applyAlignment="1" applyProtection="1">
      <alignment horizontal="left" vertical="center"/>
      <protection locked="0"/>
    </xf>
    <xf numFmtId="0" fontId="55" fillId="23" borderId="34" xfId="0" applyFont="1" applyFill="1" applyBorder="1" applyAlignment="1">
      <alignment horizontal="left" vertical="center"/>
    </xf>
    <xf numFmtId="0" fontId="55" fillId="23" borderId="35" xfId="0" applyFont="1" applyFill="1" applyBorder="1" applyAlignment="1">
      <alignment horizontal="left" vertical="center"/>
    </xf>
    <xf numFmtId="0" fontId="41" fillId="12" borderId="0" xfId="0" applyFont="1" applyFill="1">
      <alignment vertical="center"/>
    </xf>
    <xf numFmtId="0" fontId="0" fillId="55" borderId="1" xfId="0" applyFill="1" applyBorder="1" applyAlignment="1" applyProtection="1">
      <alignment horizontal="center" vertical="center"/>
      <protection locked="0"/>
    </xf>
    <xf numFmtId="0" fontId="0" fillId="54" borderId="174" xfId="0" applyFill="1" applyBorder="1" applyAlignment="1">
      <alignment vertical="center" wrapText="1"/>
    </xf>
    <xf numFmtId="0" fontId="0" fillId="54" borderId="174" xfId="0" applyFill="1" applyBorder="1" applyAlignment="1">
      <alignment horizontal="center" vertical="center" wrapText="1"/>
    </xf>
    <xf numFmtId="0" fontId="0" fillId="23" borderId="219" xfId="0" applyFill="1" applyBorder="1" applyAlignment="1">
      <alignment horizontal="center" vertical="center"/>
    </xf>
    <xf numFmtId="0" fontId="0" fillId="46" borderId="219" xfId="0" applyFill="1" applyBorder="1" applyAlignment="1">
      <alignment horizontal="center" vertical="center"/>
    </xf>
    <xf numFmtId="0" fontId="0" fillId="56" borderId="148" xfId="0" applyFill="1" applyBorder="1" applyAlignment="1">
      <alignment horizontal="right" vertical="center" wrapText="1"/>
    </xf>
    <xf numFmtId="0" fontId="0" fillId="56" borderId="148" xfId="0" applyFill="1" applyBorder="1" applyAlignment="1">
      <alignment horizontal="center" vertical="center" wrapText="1"/>
    </xf>
    <xf numFmtId="38" fontId="36" fillId="56" borderId="1" xfId="24" applyFont="1" applyFill="1" applyBorder="1" applyAlignment="1" applyProtection="1">
      <alignment horizontal="center" vertical="center"/>
      <protection locked="0"/>
    </xf>
    <xf numFmtId="0" fontId="0" fillId="56" borderId="148" xfId="0" applyFill="1" applyBorder="1" applyAlignment="1">
      <alignment horizontal="left" vertical="center" wrapText="1"/>
    </xf>
    <xf numFmtId="38" fontId="36" fillId="49" borderId="1" xfId="24" applyFont="1" applyFill="1" applyBorder="1" applyAlignment="1" applyProtection="1">
      <alignment horizontal="center" vertical="center"/>
      <protection locked="0"/>
    </xf>
    <xf numFmtId="0" fontId="12" fillId="7" borderId="2" xfId="0" applyFont="1" applyFill="1" applyBorder="1" applyAlignment="1" applyProtection="1">
      <alignment horizontal="center" vertical="center"/>
      <protection locked="0"/>
    </xf>
    <xf numFmtId="0" fontId="36" fillId="0" borderId="219" xfId="9" applyBorder="1" applyAlignment="1">
      <alignment horizontal="left" vertical="center"/>
    </xf>
    <xf numFmtId="0" fontId="50" fillId="0" borderId="219" xfId="9" applyFont="1" applyBorder="1" applyAlignment="1">
      <alignment horizontal="left" vertical="center"/>
    </xf>
    <xf numFmtId="0" fontId="39" fillId="26" borderId="219" xfId="9" applyFont="1" applyFill="1" applyBorder="1" applyAlignment="1">
      <alignment horizontal="center" vertical="center"/>
    </xf>
    <xf numFmtId="0" fontId="39" fillId="0" borderId="219" xfId="9" applyFont="1" applyBorder="1" applyAlignment="1">
      <alignment horizontal="left" vertical="center"/>
    </xf>
    <xf numFmtId="0" fontId="36" fillId="27" borderId="219" xfId="9" applyFill="1" applyBorder="1" applyAlignment="1">
      <alignment horizontal="left" vertical="center"/>
    </xf>
    <xf numFmtId="0" fontId="11" fillId="0" borderId="219" xfId="0" applyFont="1" applyBorder="1">
      <alignment vertical="center"/>
    </xf>
    <xf numFmtId="0" fontId="11" fillId="0" borderId="219" xfId="0" applyFont="1" applyBorder="1" applyAlignment="1">
      <alignment horizontal="left" vertical="center" indent="3"/>
    </xf>
    <xf numFmtId="0" fontId="42" fillId="0" borderId="219" xfId="0" applyFont="1" applyBorder="1">
      <alignment vertical="center"/>
    </xf>
    <xf numFmtId="0" fontId="0" fillId="23" borderId="219" xfId="0" quotePrefix="1" applyFill="1" applyBorder="1" applyAlignment="1">
      <alignment horizontal="center" vertical="center"/>
    </xf>
    <xf numFmtId="0" fontId="0" fillId="44" borderId="219" xfId="0" applyFill="1" applyBorder="1" applyAlignment="1">
      <alignment horizontal="center" vertical="center"/>
    </xf>
    <xf numFmtId="0" fontId="0" fillId="45" borderId="219" xfId="0" quotePrefix="1" applyFill="1" applyBorder="1" applyAlignment="1">
      <alignment horizontal="center" vertical="center"/>
    </xf>
    <xf numFmtId="0" fontId="0" fillId="45" borderId="219" xfId="0" applyFill="1" applyBorder="1" applyAlignment="1">
      <alignment horizontal="center" vertical="center"/>
    </xf>
    <xf numFmtId="0" fontId="0" fillId="44" borderId="219" xfId="0" quotePrefix="1" applyFill="1" applyBorder="1" applyAlignment="1">
      <alignment horizontal="center" vertical="center"/>
    </xf>
    <xf numFmtId="0" fontId="16" fillId="12" borderId="219" xfId="0" applyFont="1" applyFill="1" applyBorder="1" applyAlignment="1">
      <alignment horizontal="center" vertical="center" wrapText="1"/>
    </xf>
    <xf numFmtId="0" fontId="0" fillId="2" borderId="219" xfId="0" applyFill="1" applyBorder="1">
      <alignment vertical="center"/>
    </xf>
    <xf numFmtId="0" fontId="0" fillId="21" borderId="219" xfId="0" applyFill="1" applyBorder="1" applyAlignment="1">
      <alignment vertical="center" wrapText="1"/>
    </xf>
    <xf numFmtId="0" fontId="0" fillId="21" borderId="219" xfId="0" applyFill="1" applyBorder="1">
      <alignment vertical="center"/>
    </xf>
    <xf numFmtId="0" fontId="41" fillId="0" borderId="219" xfId="0" applyFont="1" applyBorder="1">
      <alignment vertical="center"/>
    </xf>
    <xf numFmtId="0" fontId="16" fillId="0" borderId="219" xfId="0" applyFont="1" applyBorder="1" applyAlignment="1">
      <alignment horizontal="right" vertical="top"/>
    </xf>
    <xf numFmtId="0" fontId="43" fillId="23" borderId="219" xfId="0" applyFont="1" applyFill="1" applyBorder="1" applyAlignment="1">
      <alignment vertical="top" wrapText="1"/>
    </xf>
    <xf numFmtId="0" fontId="43" fillId="0" borderId="219" xfId="0" applyFont="1" applyBorder="1" applyAlignment="1">
      <alignment vertical="top" wrapText="1"/>
    </xf>
    <xf numFmtId="0" fontId="16" fillId="21" borderId="219" xfId="0" applyFont="1" applyFill="1" applyBorder="1">
      <alignment vertical="center"/>
    </xf>
    <xf numFmtId="0" fontId="17" fillId="21" borderId="219" xfId="0" applyFont="1" applyFill="1" applyBorder="1" applyAlignment="1">
      <alignment horizontal="left" vertical="center" wrapText="1"/>
    </xf>
    <xf numFmtId="0" fontId="17" fillId="21" borderId="219" xfId="0" applyFont="1" applyFill="1" applyBorder="1" applyAlignment="1">
      <alignment horizontal="left" vertical="center"/>
    </xf>
    <xf numFmtId="0" fontId="0" fillId="29" borderId="158" xfId="0" applyFill="1" applyBorder="1" applyAlignment="1">
      <alignment horizontal="center" vertical="center" wrapText="1"/>
    </xf>
    <xf numFmtId="0" fontId="0" fillId="30" borderId="50" xfId="0" applyFill="1" applyBorder="1" applyAlignment="1">
      <alignment horizontal="center" vertical="center" wrapText="1"/>
    </xf>
    <xf numFmtId="0" fontId="0" fillId="28" borderId="131" xfId="0" applyFill="1" applyBorder="1" applyAlignment="1">
      <alignment horizontal="center" vertical="center"/>
    </xf>
    <xf numFmtId="0" fontId="0" fillId="21" borderId="132" xfId="0" applyFill="1" applyBorder="1" applyAlignment="1" applyProtection="1">
      <alignment horizontal="center" vertical="center" wrapText="1"/>
      <protection locked="0"/>
    </xf>
    <xf numFmtId="0" fontId="0" fillId="21" borderId="131" xfId="0" applyFill="1" applyBorder="1" applyAlignment="1" applyProtection="1">
      <alignment horizontal="center" vertical="center" wrapText="1"/>
      <protection locked="0"/>
    </xf>
    <xf numFmtId="0" fontId="0" fillId="28" borderId="132" xfId="0" applyFill="1" applyBorder="1" applyAlignment="1">
      <alignment horizontal="center" vertical="center"/>
    </xf>
    <xf numFmtId="0" fontId="12" fillId="23" borderId="131" xfId="0" applyFont="1" applyFill="1" applyBorder="1" applyAlignment="1">
      <alignment horizontal="center" vertical="center"/>
    </xf>
    <xf numFmtId="0" fontId="12" fillId="23" borderId="0" xfId="0" applyFont="1" applyFill="1" applyAlignment="1">
      <alignment horizontal="center" vertical="center"/>
    </xf>
    <xf numFmtId="0" fontId="103" fillId="23" borderId="159" xfId="0" applyFont="1" applyFill="1" applyBorder="1" applyAlignment="1">
      <alignment horizontal="left" vertical="center" wrapText="1"/>
    </xf>
    <xf numFmtId="0" fontId="0" fillId="54" borderId="174" xfId="0" applyFill="1" applyBorder="1" applyAlignment="1">
      <alignment horizontal="left" vertical="center" wrapText="1"/>
    </xf>
    <xf numFmtId="0" fontId="16" fillId="23" borderId="219" xfId="0" applyFont="1" applyFill="1" applyBorder="1">
      <alignment vertical="center"/>
    </xf>
    <xf numFmtId="0" fontId="84" fillId="28" borderId="0" xfId="0" applyFont="1" applyFill="1">
      <alignment vertical="center"/>
    </xf>
    <xf numFmtId="0" fontId="56" fillId="28" borderId="0" xfId="0" applyFont="1" applyFill="1" applyAlignment="1">
      <alignment horizontal="right" vertical="center"/>
    </xf>
    <xf numFmtId="180" fontId="56" fillId="28" borderId="131" xfId="0" applyNumberFormat="1" applyFont="1" applyFill="1" applyBorder="1" applyAlignment="1">
      <alignment horizontal="left" vertical="center" shrinkToFit="1"/>
    </xf>
    <xf numFmtId="0" fontId="84" fillId="0" borderId="0" xfId="0" applyFont="1">
      <alignment vertical="center"/>
    </xf>
    <xf numFmtId="0" fontId="84" fillId="0" borderId="0" xfId="0" applyFont="1" applyAlignment="1">
      <alignment horizontal="center" vertical="center"/>
    </xf>
    <xf numFmtId="0" fontId="16" fillId="18" borderId="1" xfId="0" applyFont="1" applyFill="1" applyBorder="1" applyAlignment="1" applyProtection="1">
      <alignment horizontal="center" vertical="center"/>
      <protection locked="0"/>
    </xf>
    <xf numFmtId="0" fontId="0" fillId="2" borderId="222" xfId="0" applyFill="1" applyBorder="1" applyAlignment="1">
      <alignment horizontal="center" vertical="center"/>
    </xf>
    <xf numFmtId="0" fontId="0" fillId="2" borderId="223" xfId="0" applyFill="1" applyBorder="1" applyAlignment="1">
      <alignment horizontal="center" vertical="center"/>
    </xf>
    <xf numFmtId="0" fontId="0" fillId="12" borderId="222" xfId="0" applyFill="1" applyBorder="1" applyAlignment="1">
      <alignment vertical="center" wrapText="1"/>
    </xf>
    <xf numFmtId="0" fontId="0" fillId="12" borderId="223" xfId="0" applyFill="1" applyBorder="1" applyAlignment="1">
      <alignment vertical="center" wrapText="1"/>
    </xf>
    <xf numFmtId="0" fontId="0" fillId="2" borderId="223" xfId="0" applyFill="1" applyBorder="1" applyAlignment="1">
      <alignment horizontal="center" vertical="center" wrapText="1"/>
    </xf>
    <xf numFmtId="0" fontId="9" fillId="2" borderId="227" xfId="0" applyFont="1" applyFill="1" applyBorder="1" applyAlignment="1">
      <alignment vertical="center" wrapText="1"/>
    </xf>
    <xf numFmtId="0" fontId="16" fillId="12" borderId="227" xfId="0" applyFont="1" applyFill="1" applyBorder="1" applyAlignment="1">
      <alignment horizontal="left" vertical="center"/>
    </xf>
    <xf numFmtId="0" fontId="16" fillId="21" borderId="227" xfId="0" applyFont="1" applyFill="1" applyBorder="1" applyAlignment="1">
      <alignment horizontal="left" vertical="center"/>
    </xf>
    <xf numFmtId="0" fontId="0" fillId="23" borderId="227" xfId="0" applyFill="1" applyBorder="1">
      <alignment vertical="center"/>
    </xf>
    <xf numFmtId="0" fontId="0" fillId="0" borderId="227" xfId="0" applyBorder="1">
      <alignment vertical="center"/>
    </xf>
    <xf numFmtId="0" fontId="11" fillId="0" borderId="228" xfId="0" applyFont="1" applyBorder="1">
      <alignment vertical="center"/>
    </xf>
    <xf numFmtId="0" fontId="11" fillId="0" borderId="227" xfId="0" applyFont="1" applyBorder="1">
      <alignment vertical="center"/>
    </xf>
    <xf numFmtId="0" fontId="12" fillId="0" borderId="227" xfId="0" applyFont="1" applyBorder="1">
      <alignment vertical="center"/>
    </xf>
    <xf numFmtId="0" fontId="11" fillId="0" borderId="227" xfId="0" applyFont="1" applyBorder="1" applyAlignment="1">
      <alignment vertical="center" wrapText="1"/>
    </xf>
    <xf numFmtId="0" fontId="0" fillId="0" borderId="229" xfId="0" applyBorder="1" applyAlignment="1">
      <alignment vertical="center" wrapText="1"/>
    </xf>
    <xf numFmtId="0" fontId="77" fillId="43" borderId="227" xfId="0" applyFont="1" applyFill="1" applyBorder="1" applyAlignment="1">
      <alignment horizontal="center" vertical="center"/>
    </xf>
    <xf numFmtId="0" fontId="77" fillId="43" borderId="227" xfId="0" applyFont="1" applyFill="1" applyBorder="1" applyAlignment="1">
      <alignment horizontal="left" vertical="center"/>
    </xf>
    <xf numFmtId="0" fontId="77" fillId="43" borderId="229" xfId="0" applyFont="1" applyFill="1" applyBorder="1" applyAlignment="1">
      <alignment vertical="center" wrapText="1"/>
    </xf>
    <xf numFmtId="0" fontId="77" fillId="43" borderId="229" xfId="0" applyFont="1" applyFill="1" applyBorder="1" applyAlignment="1">
      <alignment horizontal="center" vertical="center" wrapText="1"/>
    </xf>
    <xf numFmtId="0" fontId="77" fillId="43" borderId="229" xfId="0" applyFont="1" applyFill="1" applyBorder="1" applyAlignment="1">
      <alignment horizontal="left" vertical="center" wrapText="1"/>
    </xf>
    <xf numFmtId="0" fontId="0" fillId="45" borderId="228" xfId="0" quotePrefix="1" applyFill="1" applyBorder="1" applyAlignment="1">
      <alignment horizontal="center" vertical="center"/>
    </xf>
    <xf numFmtId="0" fontId="0" fillId="45" borderId="227" xfId="0" applyFill="1" applyBorder="1" applyAlignment="1">
      <alignment horizontal="left" vertical="center"/>
    </xf>
    <xf numFmtId="0" fontId="0" fillId="45" borderId="227" xfId="0" applyFill="1" applyBorder="1" applyAlignment="1">
      <alignment horizontal="center" vertical="center"/>
    </xf>
    <xf numFmtId="0" fontId="0" fillId="45" borderId="229" xfId="0" applyFill="1" applyBorder="1">
      <alignment vertical="center"/>
    </xf>
    <xf numFmtId="0" fontId="0" fillId="45" borderId="229" xfId="0" applyFill="1" applyBorder="1" applyAlignment="1">
      <alignment horizontal="center" vertical="center"/>
    </xf>
    <xf numFmtId="0" fontId="0" fillId="45" borderId="229" xfId="0" applyFill="1" applyBorder="1" applyAlignment="1">
      <alignment horizontal="left" vertical="center" wrapText="1"/>
    </xf>
    <xf numFmtId="0" fontId="0" fillId="23" borderId="230" xfId="0" applyFill="1" applyBorder="1">
      <alignment vertical="center"/>
    </xf>
    <xf numFmtId="0" fontId="0" fillId="23" borderId="230" xfId="0" applyFill="1" applyBorder="1" applyAlignment="1">
      <alignment horizontal="center" vertical="center"/>
    </xf>
    <xf numFmtId="0" fontId="0" fillId="23" borderId="230" xfId="0" applyFill="1" applyBorder="1" applyAlignment="1">
      <alignment horizontal="left" vertical="center" wrapText="1"/>
    </xf>
    <xf numFmtId="0" fontId="0" fillId="44" borderId="228" xfId="0" quotePrefix="1" applyFill="1" applyBorder="1" applyAlignment="1">
      <alignment horizontal="center" vertical="center"/>
    </xf>
    <xf numFmtId="0" fontId="0" fillId="44" borderId="227" xfId="0" applyFill="1" applyBorder="1" applyAlignment="1">
      <alignment horizontal="left" vertical="center"/>
    </xf>
    <xf numFmtId="0" fontId="0" fillId="44" borderId="227" xfId="0" applyFill="1" applyBorder="1" applyAlignment="1">
      <alignment horizontal="center" vertical="center"/>
    </xf>
    <xf numFmtId="0" fontId="0" fillId="44" borderId="229" xfId="0" applyFill="1" applyBorder="1" applyAlignment="1">
      <alignment vertical="center" wrapText="1"/>
    </xf>
    <xf numFmtId="0" fontId="0" fillId="44" borderId="229" xfId="0" applyFill="1" applyBorder="1" applyAlignment="1">
      <alignment horizontal="center" vertical="center" wrapText="1"/>
    </xf>
    <xf numFmtId="0" fontId="0" fillId="44" borderId="229" xfId="0" applyFill="1" applyBorder="1" applyAlignment="1">
      <alignment horizontal="left" vertical="center" wrapText="1"/>
    </xf>
    <xf numFmtId="0" fontId="0" fillId="46" borderId="228" xfId="0" applyFill="1" applyBorder="1" applyAlignment="1">
      <alignment horizontal="center" vertical="center"/>
    </xf>
    <xf numFmtId="0" fontId="0" fillId="46" borderId="227" xfId="0" applyFill="1" applyBorder="1" applyAlignment="1">
      <alignment horizontal="left" vertical="center"/>
    </xf>
    <xf numFmtId="0" fontId="0" fillId="46" borderId="227" xfId="0" applyFill="1" applyBorder="1" applyAlignment="1">
      <alignment horizontal="center" vertical="center"/>
    </xf>
    <xf numFmtId="0" fontId="0" fillId="46" borderId="229" xfId="0" applyFill="1" applyBorder="1" applyAlignment="1">
      <alignment vertical="center" wrapText="1"/>
    </xf>
    <xf numFmtId="0" fontId="0" fillId="46" borderId="229" xfId="0" applyFill="1" applyBorder="1" applyAlignment="1">
      <alignment horizontal="center" vertical="center" wrapText="1"/>
    </xf>
    <xf numFmtId="0" fontId="0" fillId="46" borderId="229" xfId="0" applyFill="1" applyBorder="1" applyAlignment="1">
      <alignment horizontal="left" vertical="center" wrapText="1"/>
    </xf>
    <xf numFmtId="0" fontId="0" fillId="23" borderId="228" xfId="0" applyFill="1" applyBorder="1" applyAlignment="1">
      <alignment horizontal="center" vertical="center"/>
    </xf>
    <xf numFmtId="0" fontId="0" fillId="23" borderId="227" xfId="0" applyFill="1" applyBorder="1" applyAlignment="1">
      <alignment horizontal="center" vertical="center"/>
    </xf>
    <xf numFmtId="0" fontId="0" fillId="23" borderId="230" xfId="0" applyFill="1" applyBorder="1" applyAlignment="1">
      <alignment vertical="center" wrapText="1"/>
    </xf>
    <xf numFmtId="0" fontId="0" fillId="23" borderId="230" xfId="0" applyFill="1" applyBorder="1" applyAlignment="1">
      <alignment horizontal="center" vertical="center" wrapText="1"/>
    </xf>
    <xf numFmtId="0" fontId="0" fillId="23" borderId="229" xfId="0" applyFill="1" applyBorder="1" applyAlignment="1">
      <alignment horizontal="center" vertical="center"/>
    </xf>
    <xf numFmtId="58" fontId="0" fillId="23" borderId="230" xfId="0" applyNumberFormat="1" applyFill="1" applyBorder="1" applyAlignment="1">
      <alignment horizontal="left" vertical="center" wrapText="1"/>
    </xf>
    <xf numFmtId="0" fontId="0" fillId="54" borderId="230" xfId="0" applyFill="1" applyBorder="1" applyAlignment="1">
      <alignment vertical="center" wrapText="1"/>
    </xf>
    <xf numFmtId="0" fontId="0" fillId="54" borderId="230" xfId="0" applyFill="1" applyBorder="1" applyAlignment="1">
      <alignment horizontal="center" vertical="center" wrapText="1"/>
    </xf>
    <xf numFmtId="0" fontId="0" fillId="54" borderId="230" xfId="0" applyFill="1" applyBorder="1" applyAlignment="1">
      <alignment horizontal="left" vertical="center" wrapText="1"/>
    </xf>
    <xf numFmtId="0" fontId="0" fillId="46" borderId="229" xfId="0" applyFill="1" applyBorder="1" applyAlignment="1">
      <alignment horizontal="center" vertical="center"/>
    </xf>
    <xf numFmtId="0" fontId="0" fillId="44" borderId="228" xfId="0" applyFill="1" applyBorder="1" applyAlignment="1">
      <alignment horizontal="center" vertical="center"/>
    </xf>
    <xf numFmtId="0" fontId="0" fillId="0" borderId="230" xfId="0" applyBorder="1" applyAlignment="1">
      <alignment horizontal="center" vertical="center" wrapText="1"/>
    </xf>
    <xf numFmtId="0" fontId="0" fillId="44" borderId="229" xfId="0" applyFill="1" applyBorder="1" applyAlignment="1">
      <alignment horizontal="center" vertical="center"/>
    </xf>
    <xf numFmtId="0" fontId="0" fillId="0" borderId="231" xfId="0" applyBorder="1" applyAlignment="1">
      <alignment horizontal="center" vertical="center" wrapText="1"/>
    </xf>
    <xf numFmtId="38" fontId="0" fillId="23" borderId="230" xfId="24" applyFont="1" applyFill="1" applyBorder="1">
      <alignment vertical="center"/>
    </xf>
    <xf numFmtId="0" fontId="16" fillId="2" borderId="230" xfId="0" applyFont="1" applyFill="1" applyBorder="1" applyAlignment="1">
      <alignment horizontal="center" vertical="center" wrapText="1"/>
    </xf>
    <xf numFmtId="0" fontId="17" fillId="2" borderId="227" xfId="0" applyFont="1" applyFill="1" applyBorder="1" applyAlignment="1">
      <alignment horizontal="center" vertical="center" wrapText="1"/>
    </xf>
    <xf numFmtId="0" fontId="50" fillId="18" borderId="229" xfId="21" applyFont="1" applyFill="1" applyBorder="1">
      <alignment vertical="center"/>
    </xf>
    <xf numFmtId="0" fontId="16" fillId="2" borderId="228" xfId="0" applyFont="1" applyFill="1" applyBorder="1" applyAlignment="1">
      <alignment horizontal="center" vertical="center"/>
    </xf>
    <xf numFmtId="0" fontId="16" fillId="2" borderId="230" xfId="0" applyFont="1" applyFill="1" applyBorder="1" applyAlignment="1">
      <alignment horizontal="center" vertical="center"/>
    </xf>
    <xf numFmtId="0" fontId="16" fillId="12" borderId="228" xfId="0" applyFont="1" applyFill="1" applyBorder="1" applyAlignment="1">
      <alignment horizontal="center" vertical="center" wrapText="1"/>
    </xf>
    <xf numFmtId="0" fontId="0" fillId="2" borderId="228" xfId="0" applyFill="1" applyBorder="1">
      <alignment vertical="center"/>
    </xf>
    <xf numFmtId="0" fontId="16" fillId="2" borderId="227" xfId="0" applyFont="1" applyFill="1" applyBorder="1">
      <alignment vertical="center"/>
    </xf>
    <xf numFmtId="0" fontId="16" fillId="2" borderId="229" xfId="0" applyFont="1" applyFill="1" applyBorder="1">
      <alignment vertical="center"/>
    </xf>
    <xf numFmtId="0" fontId="9" fillId="2" borderId="227" xfId="0" applyFont="1" applyFill="1" applyBorder="1">
      <alignment vertical="center"/>
    </xf>
    <xf numFmtId="0" fontId="9" fillId="2" borderId="230" xfId="0" applyFont="1" applyFill="1" applyBorder="1" applyAlignment="1">
      <alignment horizontal="center" vertical="center"/>
    </xf>
    <xf numFmtId="0" fontId="0" fillId="21" borderId="228" xfId="0" applyFill="1" applyBorder="1" applyAlignment="1">
      <alignment vertical="center" wrapText="1"/>
    </xf>
    <xf numFmtId="0" fontId="0" fillId="21" borderId="227" xfId="0" applyFill="1" applyBorder="1" applyAlignment="1">
      <alignment vertical="center" wrapText="1"/>
    </xf>
    <xf numFmtId="0" fontId="0" fillId="21" borderId="229" xfId="0" applyFill="1" applyBorder="1" applyAlignment="1">
      <alignment vertical="center" wrapText="1"/>
    </xf>
    <xf numFmtId="0" fontId="0" fillId="12" borderId="227" xfId="0" applyFill="1" applyBorder="1">
      <alignment vertical="center"/>
    </xf>
    <xf numFmtId="0" fontId="0" fillId="12" borderId="229" xfId="0" applyFill="1" applyBorder="1">
      <alignment vertical="center"/>
    </xf>
    <xf numFmtId="0" fontId="16" fillId="21" borderId="228" xfId="0" applyFont="1" applyFill="1" applyBorder="1" applyAlignment="1">
      <alignment horizontal="left" vertical="center"/>
    </xf>
    <xf numFmtId="0" fontId="28" fillId="0" borderId="228" xfId="0" applyFont="1" applyBorder="1">
      <alignment vertical="center"/>
    </xf>
    <xf numFmtId="0" fontId="0" fillId="0" borderId="227" xfId="0" applyBorder="1" applyAlignment="1">
      <alignment horizontal="left" vertical="top" wrapText="1"/>
    </xf>
    <xf numFmtId="0" fontId="0" fillId="0" borderId="229" xfId="0" applyBorder="1">
      <alignment vertical="center"/>
    </xf>
    <xf numFmtId="0" fontId="16" fillId="21" borderId="228" xfId="0" applyFont="1" applyFill="1" applyBorder="1">
      <alignment vertical="center"/>
    </xf>
    <xf numFmtId="0" fontId="16" fillId="21" borderId="227" xfId="0" applyFont="1" applyFill="1" applyBorder="1">
      <alignment vertical="center"/>
    </xf>
    <xf numFmtId="0" fontId="0" fillId="21" borderId="227" xfId="0" applyFill="1" applyBorder="1">
      <alignment vertical="center"/>
    </xf>
    <xf numFmtId="0" fontId="0" fillId="21" borderId="233" xfId="0" applyFill="1" applyBorder="1">
      <alignment vertical="center"/>
    </xf>
    <xf numFmtId="0" fontId="16" fillId="23" borderId="227" xfId="0" applyFont="1" applyFill="1" applyBorder="1">
      <alignment vertical="center"/>
    </xf>
    <xf numFmtId="0" fontId="0" fillId="23" borderId="229" xfId="0" applyFill="1" applyBorder="1">
      <alignment vertical="center"/>
    </xf>
    <xf numFmtId="0" fontId="0" fillId="21" borderId="229" xfId="0" applyFill="1" applyBorder="1">
      <alignment vertical="center"/>
    </xf>
    <xf numFmtId="0" fontId="9" fillId="21" borderId="227" xfId="0" applyFont="1" applyFill="1" applyBorder="1">
      <alignment vertical="center"/>
    </xf>
    <xf numFmtId="0" fontId="9" fillId="21" borderId="229" xfId="0" applyFont="1" applyFill="1" applyBorder="1">
      <alignment vertical="center"/>
    </xf>
    <xf numFmtId="0" fontId="22" fillId="12" borderId="227" xfId="0" applyFont="1" applyFill="1" applyBorder="1">
      <alignment vertical="center"/>
    </xf>
    <xf numFmtId="0" fontId="24" fillId="2" borderId="228" xfId="0" applyFont="1" applyFill="1" applyBorder="1">
      <alignment vertical="center"/>
    </xf>
    <xf numFmtId="0" fontId="0" fillId="21" borderId="230" xfId="0" applyFill="1" applyBorder="1" applyAlignment="1">
      <alignment horizontal="center" vertical="center" wrapText="1"/>
    </xf>
    <xf numFmtId="0" fontId="0" fillId="0" borderId="228" xfId="0" applyBorder="1" applyAlignment="1">
      <alignment horizontal="center" vertical="center" wrapText="1"/>
    </xf>
    <xf numFmtId="0" fontId="16" fillId="12" borderId="228" xfId="0" applyFont="1" applyFill="1" applyBorder="1" applyAlignment="1">
      <alignment horizontal="center" vertical="center"/>
    </xf>
    <xf numFmtId="0" fontId="16" fillId="12" borderId="230" xfId="0" applyFont="1" applyFill="1" applyBorder="1" applyAlignment="1">
      <alignment horizontal="center" vertical="center"/>
    </xf>
    <xf numFmtId="0" fontId="9" fillId="2" borderId="229" xfId="0" applyFont="1" applyFill="1" applyBorder="1" applyAlignment="1">
      <alignment vertical="center" wrapText="1"/>
    </xf>
    <xf numFmtId="0" fontId="16" fillId="34" borderId="228" xfId="0" applyFont="1" applyFill="1" applyBorder="1" applyAlignment="1">
      <alignment horizontal="center" vertical="center"/>
    </xf>
    <xf numFmtId="0" fontId="56" fillId="0" borderId="230" xfId="0" applyFont="1" applyBorder="1" applyAlignment="1">
      <alignment horizontal="center" vertical="center"/>
    </xf>
    <xf numFmtId="0" fontId="0" fillId="46" borderId="230" xfId="0" applyFill="1" applyBorder="1" applyAlignment="1">
      <alignment horizontal="center" vertical="center"/>
    </xf>
    <xf numFmtId="0" fontId="0" fillId="23" borderId="126" xfId="0" applyFill="1" applyBorder="1" applyAlignment="1">
      <alignment horizontal="center" vertical="center"/>
    </xf>
    <xf numFmtId="0" fontId="0" fillId="23" borderId="131" xfId="0" applyFill="1" applyBorder="1" applyAlignment="1">
      <alignment horizontal="right" vertical="center" wrapText="1"/>
    </xf>
    <xf numFmtId="0" fontId="0" fillId="2" borderId="131" xfId="0" applyFill="1" applyBorder="1" applyAlignment="1">
      <alignment horizontal="center" vertical="center"/>
    </xf>
    <xf numFmtId="0" fontId="17" fillId="21" borderId="127" xfId="0" applyFont="1" applyFill="1" applyBorder="1" applyAlignment="1">
      <alignment horizontal="left" vertical="center" wrapText="1"/>
    </xf>
    <xf numFmtId="0" fontId="19" fillId="9" borderId="41" xfId="0" applyFont="1" applyFill="1" applyBorder="1" applyAlignment="1">
      <alignment horizontal="center" vertical="center" wrapText="1"/>
    </xf>
    <xf numFmtId="0" fontId="19" fillId="9" borderId="97" xfId="0" applyFont="1" applyFill="1" applyBorder="1" applyAlignment="1">
      <alignment horizontal="center" vertical="center" wrapText="1"/>
    </xf>
    <xf numFmtId="0" fontId="62" fillId="19" borderId="1" xfId="0" applyFont="1" applyFill="1" applyBorder="1" applyProtection="1">
      <alignment vertical="center"/>
      <protection locked="0"/>
    </xf>
    <xf numFmtId="0" fontId="50" fillId="0" borderId="126" xfId="52" applyFont="1" applyBorder="1" applyAlignment="1" applyProtection="1">
      <alignment horizontal="left" vertical="center" wrapText="1"/>
      <protection locked="0"/>
    </xf>
    <xf numFmtId="0" fontId="50" fillId="0" borderId="131" xfId="52" applyFont="1" applyBorder="1" applyAlignment="1" applyProtection="1">
      <alignment horizontal="left" vertical="center" wrapText="1"/>
      <protection locked="0"/>
    </xf>
    <xf numFmtId="0" fontId="50" fillId="0" borderId="131" xfId="52" applyFont="1" applyBorder="1" applyAlignment="1" applyProtection="1">
      <alignment horizontal="center" vertical="center"/>
      <protection locked="0"/>
    </xf>
    <xf numFmtId="0" fontId="16" fillId="7" borderId="28" xfId="0" applyFont="1" applyFill="1" applyBorder="1" applyAlignment="1" applyProtection="1">
      <alignment horizontal="left" vertical="center" wrapText="1"/>
      <protection locked="0"/>
    </xf>
    <xf numFmtId="0" fontId="16" fillId="4" borderId="1" xfId="0" applyFont="1" applyFill="1" applyBorder="1" applyAlignment="1" applyProtection="1">
      <alignment horizontal="center" vertical="center" wrapText="1"/>
      <protection locked="0"/>
    </xf>
    <xf numFmtId="0" fontId="16" fillId="4" borderId="3" xfId="0" applyFont="1"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177" fontId="12" fillId="14" borderId="1" xfId="0" applyNumberFormat="1" applyFont="1" applyFill="1" applyBorder="1" applyAlignment="1" applyProtection="1">
      <alignment horizontal="left" vertical="center"/>
      <protection locked="0"/>
    </xf>
    <xf numFmtId="185" fontId="36" fillId="18" borderId="1" xfId="24" applyNumberFormat="1" applyFont="1" applyFill="1" applyBorder="1" applyAlignment="1" applyProtection="1">
      <alignment horizontal="center" vertical="center"/>
      <protection locked="0"/>
    </xf>
    <xf numFmtId="58" fontId="17" fillId="5" borderId="1" xfId="0" applyNumberFormat="1" applyFont="1" applyFill="1" applyBorder="1" applyAlignment="1" applyProtection="1">
      <alignment horizontal="center" vertical="center" wrapText="1"/>
      <protection locked="0"/>
    </xf>
    <xf numFmtId="14" fontId="0" fillId="17" borderId="131" xfId="0" applyNumberFormat="1" applyFill="1" applyBorder="1" applyAlignment="1" applyProtection="1">
      <alignment horizontal="center" vertical="center"/>
      <protection locked="0"/>
    </xf>
    <xf numFmtId="0" fontId="0" fillId="49" borderId="132" xfId="0" applyFill="1" applyBorder="1" applyAlignment="1">
      <alignment horizontal="center" vertical="center" wrapText="1"/>
    </xf>
    <xf numFmtId="0" fontId="0" fillId="49" borderId="133" xfId="0" applyFill="1" applyBorder="1" applyAlignment="1">
      <alignment horizontal="center" vertical="center" wrapText="1"/>
    </xf>
    <xf numFmtId="0" fontId="0" fillId="49" borderId="126" xfId="0" applyFill="1" applyBorder="1" applyAlignment="1">
      <alignment horizontal="center" vertical="center" wrapText="1"/>
    </xf>
    <xf numFmtId="0" fontId="36" fillId="0" borderId="0" xfId="9" applyAlignment="1">
      <alignment horizontal="left" vertical="center" wrapText="1" indent="1"/>
    </xf>
    <xf numFmtId="0" fontId="36" fillId="0" borderId="0" xfId="9" applyAlignment="1">
      <alignment vertical="center" wrapText="1"/>
    </xf>
    <xf numFmtId="0" fontId="36" fillId="0" borderId="0" xfId="9" applyAlignment="1">
      <alignment horizontal="left" vertical="center" wrapText="1"/>
    </xf>
    <xf numFmtId="0" fontId="54" fillId="0" borderId="77" xfId="9" applyFont="1" applyBorder="1" applyAlignment="1">
      <alignment horizontal="left" vertical="center" wrapText="1" indent="1"/>
    </xf>
    <xf numFmtId="0" fontId="54" fillId="0" borderId="89" xfId="9" applyFont="1" applyBorder="1" applyAlignment="1">
      <alignment horizontal="left" vertical="center" wrapText="1" indent="1"/>
    </xf>
    <xf numFmtId="0" fontId="54" fillId="0" borderId="78" xfId="9" applyFont="1" applyBorder="1" applyAlignment="1">
      <alignment horizontal="left" vertical="center" wrapText="1" indent="1"/>
    </xf>
    <xf numFmtId="0" fontId="47" fillId="22" borderId="228" xfId="9" applyFont="1" applyFill="1" applyBorder="1" applyAlignment="1">
      <alignment horizontal="center" vertical="center" wrapText="1"/>
    </xf>
    <xf numFmtId="0" fontId="47" fillId="22" borderId="227" xfId="9" applyFont="1" applyFill="1" applyBorder="1" applyAlignment="1">
      <alignment horizontal="center" vertical="center"/>
    </xf>
    <xf numFmtId="0" fontId="47" fillId="22" borderId="229" xfId="9" applyFont="1" applyFill="1" applyBorder="1" applyAlignment="1">
      <alignment horizontal="center" vertical="center"/>
    </xf>
    <xf numFmtId="0" fontId="48" fillId="0" borderId="84" xfId="9" applyFont="1" applyBorder="1" applyAlignment="1">
      <alignment horizontal="left" vertical="center" wrapText="1"/>
    </xf>
    <xf numFmtId="0" fontId="50" fillId="0" borderId="0" xfId="9" applyFont="1" applyAlignment="1">
      <alignment horizontal="left" vertical="center" wrapText="1" indent="1"/>
    </xf>
    <xf numFmtId="0" fontId="0" fillId="0" borderId="0" xfId="9" applyFont="1" applyAlignment="1">
      <alignment horizontal="left" vertical="center" wrapText="1" indent="1"/>
    </xf>
    <xf numFmtId="0" fontId="9" fillId="0" borderId="0" xfId="9" applyFont="1" applyAlignment="1">
      <alignment horizontal="left" vertical="center" wrapText="1" indent="1"/>
    </xf>
    <xf numFmtId="0" fontId="0" fillId="0" borderId="77" xfId="9" applyFont="1" applyBorder="1" applyAlignment="1">
      <alignment horizontal="left" vertical="center" wrapText="1" indent="1"/>
    </xf>
    <xf numFmtId="0" fontId="9" fillId="0" borderId="89" xfId="9" applyFont="1" applyBorder="1" applyAlignment="1">
      <alignment horizontal="left" vertical="center" wrapText="1" indent="1"/>
    </xf>
    <xf numFmtId="0" fontId="9" fillId="0" borderId="78" xfId="9" applyFont="1" applyBorder="1" applyAlignment="1">
      <alignment horizontal="left" vertical="center" wrapText="1" indent="1"/>
    </xf>
    <xf numFmtId="0" fontId="50" fillId="0" borderId="0" xfId="9" applyFont="1" applyAlignment="1">
      <alignment horizontal="left" vertical="center" wrapText="1"/>
    </xf>
    <xf numFmtId="0" fontId="29" fillId="49" borderId="5" xfId="0" applyFont="1" applyFill="1" applyBorder="1" applyAlignment="1">
      <alignment horizontal="left" vertical="center" wrapText="1"/>
    </xf>
    <xf numFmtId="180" fontId="12" fillId="0" borderId="132" xfId="0" applyNumberFormat="1" applyFont="1" applyBorder="1" applyAlignment="1" applyProtection="1">
      <alignment horizontal="left" vertical="center" shrinkToFit="1"/>
      <protection hidden="1"/>
    </xf>
    <xf numFmtId="180" fontId="12" fillId="0" borderId="126" xfId="0" applyNumberFormat="1" applyFont="1" applyBorder="1" applyAlignment="1" applyProtection="1">
      <alignment horizontal="left" vertical="center" shrinkToFit="1"/>
      <protection hidden="1"/>
    </xf>
    <xf numFmtId="0" fontId="19" fillId="25" borderId="11" xfId="0" applyFont="1" applyFill="1" applyBorder="1" applyAlignment="1">
      <alignment horizontal="center" vertical="center" textRotation="255" wrapText="1"/>
    </xf>
    <xf numFmtId="0" fontId="19" fillId="25" borderId="0" xfId="0" applyFont="1" applyFill="1" applyAlignment="1">
      <alignment horizontal="center" vertical="center" textRotation="255" wrapText="1"/>
    </xf>
    <xf numFmtId="0" fontId="12" fillId="10" borderId="77" xfId="0" applyFont="1" applyFill="1" applyBorder="1" applyAlignment="1" applyProtection="1">
      <alignment horizontal="left" vertical="center"/>
      <protection locked="0"/>
    </xf>
    <xf numFmtId="0" fontId="12" fillId="10" borderId="78" xfId="0" applyFont="1" applyFill="1" applyBorder="1" applyAlignment="1" applyProtection="1">
      <alignment horizontal="left" vertical="center"/>
      <protection locked="0"/>
    </xf>
    <xf numFmtId="0" fontId="12" fillId="11" borderId="77" xfId="0" applyFont="1" applyFill="1" applyBorder="1" applyAlignment="1" applyProtection="1">
      <alignment horizontal="center" vertical="center"/>
      <protection locked="0"/>
    </xf>
    <xf numFmtId="0" fontId="12" fillId="11" borderId="89" xfId="0" applyFont="1" applyFill="1" applyBorder="1" applyAlignment="1" applyProtection="1">
      <alignment horizontal="center" vertical="center"/>
      <protection locked="0"/>
    </xf>
    <xf numFmtId="0" fontId="12" fillId="11" borderId="78" xfId="0" applyFont="1" applyFill="1" applyBorder="1" applyAlignment="1" applyProtection="1">
      <alignment horizontal="center" vertical="center"/>
      <protection locked="0"/>
    </xf>
    <xf numFmtId="0" fontId="11" fillId="0" borderId="0" xfId="0" applyFont="1" applyAlignment="1">
      <alignment horizontal="left" vertical="center" wrapText="1"/>
    </xf>
    <xf numFmtId="0" fontId="78" fillId="0" borderId="184" xfId="0" applyFont="1" applyBorder="1" applyAlignment="1">
      <alignment horizontal="center" vertical="center" shrinkToFit="1"/>
    </xf>
    <xf numFmtId="0" fontId="78" fillId="0" borderId="5" xfId="0" applyFont="1" applyBorder="1" applyAlignment="1">
      <alignment horizontal="center" vertical="center" shrinkToFit="1"/>
    </xf>
    <xf numFmtId="0" fontId="11" fillId="0" borderId="19" xfId="0" applyFont="1" applyBorder="1" applyAlignment="1">
      <alignment horizontal="left" vertical="top" wrapText="1"/>
    </xf>
    <xf numFmtId="0" fontId="11" fillId="0" borderId="5" xfId="0" applyFont="1" applyBorder="1" applyAlignment="1">
      <alignment horizontal="left" vertical="top" wrapText="1"/>
    </xf>
    <xf numFmtId="0" fontId="11" fillId="0" borderId="30" xfId="0" applyFont="1" applyBorder="1" applyAlignment="1">
      <alignment horizontal="left" vertical="top" wrapText="1"/>
    </xf>
    <xf numFmtId="0" fontId="11" fillId="0" borderId="53" xfId="0" applyFont="1" applyBorder="1" applyAlignment="1">
      <alignment horizontal="left" vertical="center" wrapText="1"/>
    </xf>
    <xf numFmtId="0" fontId="11" fillId="0" borderId="19" xfId="0" applyFont="1" applyBorder="1" applyAlignment="1">
      <alignment horizontal="left" vertical="center" wrapText="1"/>
    </xf>
    <xf numFmtId="0" fontId="11" fillId="0" borderId="5" xfId="0" applyFont="1" applyBorder="1" applyAlignment="1">
      <alignment horizontal="left" vertical="center" wrapText="1"/>
    </xf>
    <xf numFmtId="0" fontId="11" fillId="0" borderId="30" xfId="0" applyFont="1" applyBorder="1" applyAlignment="1">
      <alignment horizontal="left" vertical="center" wrapText="1"/>
    </xf>
    <xf numFmtId="0" fontId="36" fillId="17" borderId="28" xfId="9" applyFill="1" applyBorder="1" applyAlignment="1" applyProtection="1">
      <alignment horizontal="left" vertical="center" wrapText="1" shrinkToFit="1"/>
      <protection locked="0"/>
    </xf>
    <xf numFmtId="0" fontId="36" fillId="17" borderId="13" xfId="9" applyFill="1" applyBorder="1" applyAlignment="1" applyProtection="1">
      <alignment horizontal="left" vertical="center" wrapText="1" shrinkToFit="1"/>
      <protection locked="0"/>
    </xf>
    <xf numFmtId="0" fontId="36" fillId="17" borderId="58" xfId="9" applyFill="1" applyBorder="1" applyAlignment="1" applyProtection="1">
      <alignment horizontal="left" vertical="center" wrapText="1" shrinkToFit="1"/>
      <protection locked="0"/>
    </xf>
    <xf numFmtId="0" fontId="12"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11" fillId="0" borderId="16" xfId="0" applyFont="1" applyBorder="1" applyAlignment="1">
      <alignment horizontal="left" vertical="center" wrapText="1"/>
    </xf>
    <xf numFmtId="0" fontId="14" fillId="0" borderId="79" xfId="0" applyFont="1" applyBorder="1" applyAlignment="1">
      <alignment horizontal="center" vertical="center" wrapText="1"/>
    </xf>
    <xf numFmtId="180" fontId="68" fillId="0" borderId="0" xfId="0" applyNumberFormat="1" applyFont="1" applyAlignment="1">
      <alignment horizontal="left" wrapText="1"/>
    </xf>
    <xf numFmtId="0" fontId="12" fillId="10" borderId="28" xfId="0" applyFont="1" applyFill="1" applyBorder="1" applyAlignment="1" applyProtection="1">
      <alignment horizontal="left" vertical="center"/>
      <protection locked="0"/>
    </xf>
    <xf numFmtId="0" fontId="12" fillId="10" borderId="13" xfId="0" applyFont="1" applyFill="1" applyBorder="1" applyAlignment="1" applyProtection="1">
      <alignment horizontal="left" vertical="center"/>
      <protection locked="0"/>
    </xf>
    <xf numFmtId="0" fontId="12" fillId="10" borderId="58" xfId="0" applyFont="1" applyFill="1" applyBorder="1" applyAlignment="1" applyProtection="1">
      <alignment horizontal="left" vertical="center"/>
      <protection locked="0"/>
    </xf>
    <xf numFmtId="49" fontId="12"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102" fillId="14" borderId="28" xfId="2" applyNumberFormat="1" applyFont="1" applyFill="1" applyBorder="1" applyAlignment="1" applyProtection="1">
      <alignment horizontal="left" vertical="center"/>
      <protection locked="0"/>
    </xf>
    <xf numFmtId="49" fontId="12" fillId="14" borderId="13" xfId="0" applyNumberFormat="1" applyFont="1" applyFill="1" applyBorder="1" applyAlignment="1" applyProtection="1">
      <alignment horizontal="left" vertical="center"/>
      <protection locked="0"/>
    </xf>
    <xf numFmtId="49" fontId="12" fillId="14" borderId="58" xfId="0" applyNumberFormat="1" applyFont="1" applyFill="1" applyBorder="1" applyAlignment="1" applyProtection="1">
      <alignment horizontal="left" vertical="center"/>
      <protection locked="0"/>
    </xf>
    <xf numFmtId="0" fontId="15" fillId="0" borderId="0" xfId="0" applyFont="1" applyAlignment="1">
      <alignment horizontal="center" vertical="center"/>
    </xf>
    <xf numFmtId="180" fontId="12" fillId="0" borderId="132" xfId="0" applyNumberFormat="1" applyFont="1" applyBorder="1" applyAlignment="1">
      <alignment horizontal="left" vertical="center"/>
    </xf>
    <xf numFmtId="180" fontId="0" fillId="0" borderId="133" xfId="0" applyNumberFormat="1" applyBorder="1" applyAlignment="1">
      <alignment horizontal="left" vertical="center"/>
    </xf>
    <xf numFmtId="180" fontId="0" fillId="0" borderId="126" xfId="0" applyNumberFormat="1" applyBorder="1" applyAlignment="1">
      <alignment horizontal="left" vertical="center"/>
    </xf>
    <xf numFmtId="0" fontId="73" fillId="0" borderId="0" xfId="0" applyFont="1" applyAlignment="1">
      <alignment horizontal="center" vertical="center"/>
    </xf>
    <xf numFmtId="0" fontId="12" fillId="10" borderId="28" xfId="0" applyFont="1" applyFill="1" applyBorder="1" applyProtection="1">
      <alignment vertical="center"/>
      <protection locked="0"/>
    </xf>
    <xf numFmtId="0" fontId="12" fillId="10" borderId="13" xfId="0" applyFont="1" applyFill="1" applyBorder="1" applyProtection="1">
      <alignment vertical="center"/>
      <protection locked="0"/>
    </xf>
    <xf numFmtId="0" fontId="12" fillId="10" borderId="58" xfId="0" applyFont="1" applyFill="1" applyBorder="1" applyProtection="1">
      <alignment vertical="center"/>
      <protection locked="0"/>
    </xf>
    <xf numFmtId="177" fontId="12" fillId="14" borderId="28" xfId="0" applyNumberFormat="1" applyFont="1" applyFill="1" applyBorder="1" applyAlignment="1" applyProtection="1">
      <alignment horizontal="left" vertical="center"/>
      <protection locked="0"/>
    </xf>
    <xf numFmtId="177" fontId="12" fillId="14" borderId="13" xfId="0" applyNumberFormat="1" applyFont="1" applyFill="1" applyBorder="1" applyAlignment="1" applyProtection="1">
      <alignment horizontal="left" vertical="center"/>
      <protection locked="0"/>
    </xf>
    <xf numFmtId="177" fontId="12" fillId="14" borderId="58" xfId="0" applyNumberFormat="1" applyFont="1" applyFill="1" applyBorder="1" applyAlignment="1" applyProtection="1">
      <alignment horizontal="left" vertical="center"/>
      <protection locked="0"/>
    </xf>
    <xf numFmtId="0" fontId="11" fillId="23" borderId="10" xfId="0" applyFont="1" applyFill="1" applyBorder="1" applyAlignment="1">
      <alignment vertical="center" wrapText="1"/>
    </xf>
    <xf numFmtId="0" fontId="0" fillId="23" borderId="10" xfId="0" applyFill="1" applyBorder="1" applyAlignment="1">
      <alignment vertical="center" wrapText="1"/>
    </xf>
    <xf numFmtId="0" fontId="11" fillId="0" borderId="220" xfId="0" applyFont="1" applyBorder="1" applyAlignment="1">
      <alignment horizontal="left" vertical="center" wrapText="1"/>
    </xf>
    <xf numFmtId="0" fontId="16" fillId="5" borderId="28" xfId="0" applyFont="1" applyFill="1" applyBorder="1" applyAlignment="1" applyProtection="1">
      <alignment horizontal="left" vertical="center" wrapText="1"/>
      <protection locked="0"/>
    </xf>
    <xf numFmtId="0" fontId="16" fillId="5" borderId="58" xfId="0" applyFont="1" applyFill="1" applyBorder="1" applyAlignment="1" applyProtection="1">
      <alignment horizontal="left" vertical="center" wrapText="1"/>
      <protection locked="0"/>
    </xf>
    <xf numFmtId="0" fontId="18" fillId="12" borderId="0" xfId="0" applyFont="1" applyFill="1" applyAlignment="1">
      <alignment horizontal="center" vertical="center" wrapText="1"/>
    </xf>
    <xf numFmtId="0" fontId="18" fillId="12" borderId="0" xfId="0" applyFont="1" applyFill="1" applyAlignment="1">
      <alignment horizontal="center" vertical="center"/>
    </xf>
    <xf numFmtId="0" fontId="56" fillId="0" borderId="0" xfId="0" applyFont="1" applyAlignment="1">
      <alignment horizontal="right" vertical="center" wrapText="1"/>
    </xf>
    <xf numFmtId="0" fontId="0" fillId="0" borderId="0" xfId="0" applyAlignment="1">
      <alignment horizontal="right" vertical="center" wrapText="1"/>
    </xf>
    <xf numFmtId="180" fontId="9" fillId="12" borderId="132" xfId="0" applyNumberFormat="1" applyFont="1" applyFill="1" applyBorder="1" applyAlignment="1">
      <alignment horizontal="left" vertical="center" shrinkToFit="1"/>
    </xf>
    <xf numFmtId="180" fontId="9" fillId="12" borderId="126" xfId="0" applyNumberFormat="1" applyFont="1" applyFill="1" applyBorder="1" applyAlignment="1">
      <alignment horizontal="left" vertical="center" shrinkToFit="1"/>
    </xf>
    <xf numFmtId="0" fontId="16" fillId="12" borderId="139" xfId="0" applyFont="1" applyFill="1" applyBorder="1" applyAlignment="1">
      <alignment horizontal="left" vertical="center" wrapText="1"/>
    </xf>
    <xf numFmtId="0" fontId="16" fillId="2" borderId="66" xfId="0" applyFont="1" applyFill="1" applyBorder="1" applyAlignment="1">
      <alignment horizontal="center" vertical="center"/>
    </xf>
    <xf numFmtId="0" fontId="16" fillId="2" borderId="68" xfId="0" applyFont="1" applyFill="1" applyBorder="1" applyAlignment="1">
      <alignment horizontal="center" vertical="center"/>
    </xf>
    <xf numFmtId="0" fontId="43" fillId="0" borderId="0" xfId="0" applyFont="1" applyAlignment="1">
      <alignment horizontal="left" vertical="top" wrapText="1"/>
    </xf>
    <xf numFmtId="0" fontId="16" fillId="0" borderId="28" xfId="0" applyFont="1" applyBorder="1" applyAlignment="1">
      <alignment horizontal="left" vertical="center" wrapText="1"/>
    </xf>
    <xf numFmtId="0" fontId="16" fillId="0" borderId="58" xfId="0" applyFont="1" applyBorder="1" applyAlignment="1">
      <alignment horizontal="left" vertical="center" wrapText="1"/>
    </xf>
    <xf numFmtId="0" fontId="66" fillId="0" borderId="0" xfId="0" applyFont="1" applyAlignment="1">
      <alignment horizontal="left" vertical="top" wrapText="1"/>
    </xf>
    <xf numFmtId="0" fontId="50" fillId="18" borderId="230" xfId="21" applyFont="1" applyFill="1" applyBorder="1" applyAlignment="1">
      <alignment horizontal="center" vertical="center"/>
    </xf>
    <xf numFmtId="0" fontId="50" fillId="18" borderId="43" xfId="21" applyFont="1" applyFill="1" applyBorder="1" applyAlignment="1">
      <alignment horizontal="center" vertical="center"/>
    </xf>
    <xf numFmtId="0" fontId="50" fillId="18" borderId="230" xfId="21" applyFont="1" applyFill="1" applyBorder="1" applyAlignment="1">
      <alignment horizontal="center" vertical="center" wrapText="1"/>
    </xf>
    <xf numFmtId="0" fontId="50" fillId="18" borderId="43" xfId="21" applyFont="1" applyFill="1" applyBorder="1" applyAlignment="1">
      <alignment horizontal="center" vertical="center" wrapText="1"/>
    </xf>
    <xf numFmtId="0" fontId="50" fillId="18" borderId="132" xfId="21" applyFont="1" applyFill="1" applyBorder="1" applyAlignment="1">
      <alignment horizontal="center" vertical="center"/>
    </xf>
    <xf numFmtId="0" fontId="50" fillId="18" borderId="133" xfId="21" applyFont="1" applyFill="1" applyBorder="1" applyAlignment="1">
      <alignment horizontal="center" vertical="center"/>
    </xf>
    <xf numFmtId="0" fontId="50" fillId="18" borderId="126" xfId="21" applyFont="1" applyFill="1" applyBorder="1" applyAlignment="1">
      <alignment horizontal="center" vertical="center"/>
    </xf>
    <xf numFmtId="0" fontId="50" fillId="23" borderId="230" xfId="21" applyFont="1" applyFill="1" applyBorder="1" applyAlignment="1">
      <alignment horizontal="center" vertical="center"/>
    </xf>
    <xf numFmtId="0" fontId="50" fillId="23" borderId="43" xfId="21" applyFont="1" applyFill="1" applyBorder="1" applyAlignment="1">
      <alignment horizontal="center" vertical="center"/>
    </xf>
    <xf numFmtId="0" fontId="18" fillId="13" borderId="0" xfId="0" applyFont="1" applyFill="1" applyAlignment="1">
      <alignment horizontal="center" vertical="center"/>
    </xf>
    <xf numFmtId="0" fontId="0" fillId="0" borderId="65" xfId="0" applyBorder="1" applyAlignment="1">
      <alignment horizontal="right" vertical="center" wrapText="1"/>
    </xf>
    <xf numFmtId="180" fontId="0" fillId="13" borderId="132" xfId="0" applyNumberFormat="1" applyFill="1" applyBorder="1" applyAlignment="1">
      <alignment horizontal="left" vertical="center" shrinkToFit="1"/>
    </xf>
    <xf numFmtId="180" fontId="0" fillId="13" borderId="133" xfId="0" applyNumberFormat="1" applyFill="1" applyBorder="1" applyAlignment="1">
      <alignment horizontal="left" vertical="center" shrinkToFit="1"/>
    </xf>
    <xf numFmtId="180" fontId="0" fillId="13" borderId="126" xfId="0" applyNumberFormat="1" applyFill="1" applyBorder="1" applyAlignment="1">
      <alignment horizontal="left" vertical="center" shrinkToFit="1"/>
    </xf>
    <xf numFmtId="0" fontId="100" fillId="0" borderId="0" xfId="21" applyFont="1" applyAlignment="1">
      <alignment vertical="top" wrapText="1"/>
    </xf>
    <xf numFmtId="0" fontId="101" fillId="0" borderId="0" xfId="21" applyFont="1" applyAlignment="1">
      <alignment vertical="top" wrapText="1"/>
    </xf>
    <xf numFmtId="0" fontId="69" fillId="0" borderId="132" xfId="21" applyFont="1" applyBorder="1" applyAlignment="1">
      <alignment horizontal="center" vertical="center"/>
    </xf>
    <xf numFmtId="0" fontId="69" fillId="0" borderId="133" xfId="21" applyFont="1" applyBorder="1" applyAlignment="1">
      <alignment horizontal="center" vertical="center"/>
    </xf>
    <xf numFmtId="0" fontId="69" fillId="0" borderId="126" xfId="21" applyFont="1" applyBorder="1" applyAlignment="1">
      <alignment horizontal="center" vertical="center"/>
    </xf>
    <xf numFmtId="0" fontId="69" fillId="0" borderId="131" xfId="21" applyFont="1" applyBorder="1" applyAlignment="1">
      <alignment horizontal="center" vertical="center"/>
    </xf>
    <xf numFmtId="0" fontId="50" fillId="18" borderId="131" xfId="21" applyFont="1" applyFill="1" applyBorder="1" applyAlignment="1">
      <alignment horizontal="center" vertical="center" wrapText="1"/>
    </xf>
    <xf numFmtId="0" fontId="50" fillId="18" borderId="131" xfId="21" applyFont="1" applyFill="1" applyBorder="1" applyAlignment="1">
      <alignment horizontal="center" vertical="center"/>
    </xf>
    <xf numFmtId="0" fontId="50" fillId="18" borderId="211" xfId="21" applyFont="1" applyFill="1" applyBorder="1" applyAlignment="1">
      <alignment horizontal="center" vertical="center" wrapText="1"/>
    </xf>
    <xf numFmtId="0" fontId="16" fillId="17" borderId="55" xfId="0" applyFont="1" applyFill="1" applyBorder="1" applyAlignment="1" applyProtection="1">
      <alignment horizontal="center" vertical="center" wrapText="1"/>
      <protection locked="0"/>
    </xf>
    <xf numFmtId="0" fontId="16" fillId="17" borderId="14" xfId="0" applyFont="1" applyFill="1" applyBorder="1" applyAlignment="1" applyProtection="1">
      <alignment horizontal="center" vertical="center" wrapText="1"/>
      <protection locked="0"/>
    </xf>
    <xf numFmtId="0" fontId="16" fillId="17" borderId="59" xfId="0" applyFont="1" applyFill="1" applyBorder="1" applyAlignment="1" applyProtection="1">
      <alignment horizontal="center" vertical="center" wrapText="1"/>
      <protection locked="0"/>
    </xf>
    <xf numFmtId="0" fontId="41" fillId="21" borderId="132" xfId="0" applyFont="1" applyFill="1" applyBorder="1" applyAlignment="1">
      <alignment horizontal="left" vertical="center" wrapText="1"/>
    </xf>
    <xf numFmtId="0" fontId="41" fillId="21" borderId="133" xfId="0" applyFont="1" applyFill="1" applyBorder="1" applyAlignment="1">
      <alignment horizontal="left" vertical="center" wrapText="1"/>
    </xf>
    <xf numFmtId="0" fontId="16" fillId="2" borderId="228" xfId="0" applyFont="1" applyFill="1" applyBorder="1" applyAlignment="1">
      <alignment horizontal="center" vertical="center" wrapText="1"/>
    </xf>
    <xf numFmtId="0" fontId="16" fillId="2" borderId="227" xfId="0" applyFont="1" applyFill="1" applyBorder="1" applyAlignment="1">
      <alignment horizontal="center" vertical="center"/>
    </xf>
    <xf numFmtId="0" fontId="16" fillId="2" borderId="229" xfId="0" applyFont="1" applyFill="1" applyBorder="1" applyAlignment="1">
      <alignment horizontal="center" vertical="center"/>
    </xf>
    <xf numFmtId="0" fontId="16" fillId="2" borderId="219" xfId="0" applyFont="1" applyFill="1" applyBorder="1" applyAlignment="1">
      <alignment horizontal="center" vertical="center"/>
    </xf>
    <xf numFmtId="0" fontId="16" fillId="2" borderId="0" xfId="0" applyFont="1" applyFill="1" applyAlignment="1">
      <alignment horizontal="center" vertical="center"/>
    </xf>
    <xf numFmtId="0" fontId="16" fillId="2" borderId="21" xfId="0" applyFont="1" applyFill="1"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13"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16" fillId="13" borderId="191" xfId="0" applyFont="1" applyFill="1" applyBorder="1" applyAlignment="1">
      <alignment horizontal="center" vertical="center" wrapText="1"/>
    </xf>
    <xf numFmtId="180" fontId="43" fillId="0" borderId="0" xfId="0" applyNumberFormat="1" applyFont="1" applyAlignment="1">
      <alignment horizontal="left" vertical="top" wrapText="1"/>
    </xf>
    <xf numFmtId="0" fontId="16" fillId="2" borderId="228" xfId="0" applyFont="1" applyFill="1" applyBorder="1" applyAlignment="1">
      <alignment horizontal="center" vertical="center"/>
    </xf>
    <xf numFmtId="0" fontId="16" fillId="5" borderId="69" xfId="0" applyFont="1" applyFill="1" applyBorder="1" applyAlignment="1" applyProtection="1">
      <alignment horizontal="left" vertical="top" wrapText="1"/>
      <protection locked="0"/>
    </xf>
    <xf numFmtId="0" fontId="16" fillId="5" borderId="72" xfId="0" applyFont="1" applyFill="1" applyBorder="1" applyAlignment="1" applyProtection="1">
      <alignment horizontal="left" vertical="top" wrapText="1"/>
      <protection locked="0"/>
    </xf>
    <xf numFmtId="0" fontId="16" fillId="5" borderId="60" xfId="0" applyFont="1" applyFill="1" applyBorder="1" applyAlignment="1" applyProtection="1">
      <alignment horizontal="left" vertical="top" wrapText="1"/>
      <protection locked="0"/>
    </xf>
    <xf numFmtId="0" fontId="16" fillId="5" borderId="52" xfId="0" applyFont="1" applyFill="1" applyBorder="1" applyAlignment="1" applyProtection="1">
      <alignment horizontal="left" vertical="top" wrapText="1"/>
      <protection locked="0"/>
    </xf>
    <xf numFmtId="0" fontId="16" fillId="5" borderId="0" xfId="0" applyFont="1" applyFill="1" applyAlignment="1" applyProtection="1">
      <alignment horizontal="left" vertical="top" wrapText="1"/>
      <protection locked="0"/>
    </xf>
    <xf numFmtId="0" fontId="16" fillId="5" borderId="61" xfId="0" applyFont="1" applyFill="1" applyBorder="1" applyAlignment="1" applyProtection="1">
      <alignment horizontal="left" vertical="top" wrapText="1"/>
      <protection locked="0"/>
    </xf>
    <xf numFmtId="0" fontId="16" fillId="5" borderId="55" xfId="0" applyFont="1" applyFill="1" applyBorder="1" applyAlignment="1" applyProtection="1">
      <alignment horizontal="left" vertical="top" wrapText="1"/>
      <protection locked="0"/>
    </xf>
    <xf numFmtId="0" fontId="16" fillId="5" borderId="14" xfId="0" applyFont="1" applyFill="1" applyBorder="1" applyAlignment="1" applyProtection="1">
      <alignment horizontal="left" vertical="top" wrapText="1"/>
      <protection locked="0"/>
    </xf>
    <xf numFmtId="0" fontId="16" fillId="5" borderId="59" xfId="0" applyFont="1" applyFill="1" applyBorder="1" applyAlignment="1" applyProtection="1">
      <alignment horizontal="left" vertical="top" wrapText="1"/>
      <protection locked="0"/>
    </xf>
    <xf numFmtId="0" fontId="16" fillId="12" borderId="0" xfId="0" applyFont="1" applyFill="1" applyAlignment="1">
      <alignment horizontal="left" vertical="center" wrapText="1"/>
    </xf>
    <xf numFmtId="0" fontId="16" fillId="21" borderId="230" xfId="0" applyFont="1" applyFill="1" applyBorder="1" applyAlignment="1">
      <alignment horizontal="center" vertical="center"/>
    </xf>
    <xf numFmtId="0" fontId="16" fillId="21" borderId="211" xfId="0" applyFont="1" applyFill="1" applyBorder="1" applyAlignment="1">
      <alignment horizontal="center" vertical="center"/>
    </xf>
    <xf numFmtId="0" fontId="16" fillId="21" borderId="43" xfId="0" applyFont="1" applyFill="1" applyBorder="1" applyAlignment="1">
      <alignment horizontal="center" vertical="center"/>
    </xf>
    <xf numFmtId="0" fontId="16" fillId="18" borderId="55" xfId="0" applyFont="1" applyFill="1" applyBorder="1" applyAlignment="1" applyProtection="1">
      <alignment horizontal="center" vertical="center"/>
      <protection locked="0"/>
    </xf>
    <xf numFmtId="0" fontId="16" fillId="18" borderId="14" xfId="0" applyFont="1" applyFill="1" applyBorder="1" applyAlignment="1" applyProtection="1">
      <alignment horizontal="center" vertical="center"/>
      <protection locked="0"/>
    </xf>
    <xf numFmtId="0" fontId="16" fillId="18" borderId="59" xfId="0" applyFont="1" applyFill="1" applyBorder="1" applyAlignment="1" applyProtection="1">
      <alignment horizontal="center" vertical="center"/>
      <protection locked="0"/>
    </xf>
    <xf numFmtId="0" fontId="9" fillId="2" borderId="230" xfId="0" applyFont="1" applyFill="1" applyBorder="1" applyAlignment="1">
      <alignment horizontal="center" vertical="center" wrapText="1"/>
    </xf>
    <xf numFmtId="0" fontId="0" fillId="0" borderId="211" xfId="0" applyBorder="1" applyAlignment="1">
      <alignment horizontal="center" vertical="center" wrapText="1"/>
    </xf>
    <xf numFmtId="0" fontId="0" fillId="0" borderId="43" xfId="0" applyBorder="1" applyAlignment="1">
      <alignment horizontal="center" vertical="center" wrapText="1"/>
    </xf>
    <xf numFmtId="0" fontId="9" fillId="2" borderId="8"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16"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23" xfId="0" applyBorder="1" applyAlignment="1">
      <alignment horizontal="center" vertical="center" wrapText="1"/>
    </xf>
    <xf numFmtId="49" fontId="16" fillId="5" borderId="52" xfId="0" applyNumberFormat="1" applyFont="1" applyFill="1" applyBorder="1" applyAlignment="1" applyProtection="1">
      <alignment horizontal="left" vertical="center" wrapText="1"/>
      <protection locked="0"/>
    </xf>
    <xf numFmtId="49" fontId="16" fillId="5" borderId="0" xfId="0" applyNumberFormat="1" applyFont="1" applyFill="1" applyAlignment="1" applyProtection="1">
      <alignment horizontal="left" vertical="center" wrapText="1"/>
      <protection locked="0"/>
    </xf>
    <xf numFmtId="49" fontId="16" fillId="5" borderId="61" xfId="0" applyNumberFormat="1" applyFont="1" applyFill="1" applyBorder="1" applyAlignment="1" applyProtection="1">
      <alignment horizontal="left" vertical="center" wrapText="1"/>
      <protection locked="0"/>
    </xf>
    <xf numFmtId="0" fontId="16" fillId="2" borderId="0" xfId="0" applyFont="1" applyFill="1" applyAlignment="1">
      <alignment horizontal="center" vertical="center" wrapText="1"/>
    </xf>
    <xf numFmtId="0" fontId="17" fillId="2" borderId="32" xfId="0" applyFont="1" applyFill="1" applyBorder="1" applyAlignment="1">
      <alignment horizontal="center" vertical="center" wrapText="1"/>
    </xf>
    <xf numFmtId="0" fontId="17" fillId="2" borderId="33" xfId="0" applyFont="1" applyFill="1" applyBorder="1" applyAlignment="1">
      <alignment horizontal="center" vertical="center" wrapText="1"/>
    </xf>
    <xf numFmtId="0" fontId="17" fillId="2" borderId="123" xfId="0" applyFont="1" applyFill="1" applyBorder="1" applyAlignment="1">
      <alignment horizontal="center" vertical="center" wrapText="1"/>
    </xf>
    <xf numFmtId="49" fontId="16" fillId="18" borderId="28" xfId="0" applyNumberFormat="1" applyFont="1" applyFill="1" applyBorder="1" applyAlignment="1" applyProtection="1">
      <alignment horizontal="center" vertical="center"/>
      <protection locked="0"/>
    </xf>
    <xf numFmtId="49" fontId="16" fillId="18" borderId="13" xfId="0" applyNumberFormat="1" applyFont="1" applyFill="1" applyBorder="1" applyAlignment="1" applyProtection="1">
      <alignment horizontal="center" vertical="center"/>
      <protection locked="0"/>
    </xf>
    <xf numFmtId="49" fontId="16" fillId="18" borderId="58" xfId="0" applyNumberFormat="1" applyFont="1" applyFill="1" applyBorder="1" applyAlignment="1" applyProtection="1">
      <alignment horizontal="center" vertical="center"/>
      <protection locked="0"/>
    </xf>
    <xf numFmtId="0" fontId="9" fillId="2" borderId="230" xfId="0" applyFont="1" applyFill="1" applyBorder="1" applyAlignment="1">
      <alignment horizontal="center" vertical="center"/>
    </xf>
    <xf numFmtId="0" fontId="9" fillId="2" borderId="43" xfId="0" applyFont="1" applyFill="1" applyBorder="1" applyAlignment="1">
      <alignment horizontal="center" vertical="center"/>
    </xf>
    <xf numFmtId="0" fontId="0" fillId="2" borderId="228" xfId="0" applyFill="1" applyBorder="1" applyAlignment="1">
      <alignment horizontal="left" vertical="center" wrapText="1"/>
    </xf>
    <xf numFmtId="0" fontId="9" fillId="2" borderId="227" xfId="0" applyFont="1" applyFill="1" applyBorder="1" applyAlignment="1">
      <alignment horizontal="left" vertical="center" wrapText="1"/>
    </xf>
    <xf numFmtId="0" fontId="9" fillId="2" borderId="91" xfId="0" applyFont="1" applyFill="1" applyBorder="1" applyAlignment="1">
      <alignment horizontal="left" vertical="center" wrapText="1"/>
    </xf>
    <xf numFmtId="0" fontId="9" fillId="2" borderId="139" xfId="0" applyFont="1" applyFill="1" applyBorder="1" applyAlignment="1">
      <alignment horizontal="left" vertical="center" wrapText="1"/>
    </xf>
    <xf numFmtId="0" fontId="16" fillId="5" borderId="207" xfId="0" applyFont="1" applyFill="1" applyBorder="1" applyAlignment="1" applyProtection="1">
      <alignment horizontal="left" vertical="center" wrapText="1"/>
      <protection locked="0"/>
    </xf>
    <xf numFmtId="0" fontId="16" fillId="5" borderId="208" xfId="0" applyFont="1" applyFill="1" applyBorder="1" applyAlignment="1" applyProtection="1">
      <alignment horizontal="left" vertical="center" wrapText="1"/>
      <protection locked="0"/>
    </xf>
    <xf numFmtId="0" fontId="16" fillId="5" borderId="209"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7" xfId="0" applyFill="1" applyBorder="1" applyAlignment="1">
      <alignment horizontal="left" vertical="center" wrapText="1"/>
    </xf>
    <xf numFmtId="49" fontId="16" fillId="5" borderId="28" xfId="0" applyNumberFormat="1" applyFont="1" applyFill="1" applyBorder="1" applyAlignment="1" applyProtection="1">
      <alignment horizontal="left" vertical="center" wrapText="1"/>
      <protection locked="0"/>
    </xf>
    <xf numFmtId="49" fontId="16" fillId="5" borderId="13" xfId="0" applyNumberFormat="1" applyFont="1" applyFill="1" applyBorder="1" applyAlignment="1" applyProtection="1">
      <alignment horizontal="left" vertical="center" wrapText="1"/>
      <protection locked="0"/>
    </xf>
    <xf numFmtId="49" fontId="16" fillId="5" borderId="58" xfId="0" applyNumberFormat="1" applyFont="1" applyFill="1" applyBorder="1" applyAlignment="1" applyProtection="1">
      <alignment horizontal="left" vertical="center" wrapText="1"/>
      <protection locked="0"/>
    </xf>
    <xf numFmtId="0" fontId="16" fillId="2" borderId="28"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58" xfId="0" applyFont="1" applyFill="1" applyBorder="1" applyAlignment="1">
      <alignment horizontal="center" vertical="center" wrapText="1"/>
    </xf>
    <xf numFmtId="0" fontId="9" fillId="2" borderId="132" xfId="0" applyFont="1" applyFill="1" applyBorder="1" applyAlignment="1">
      <alignment horizontal="left" vertical="center"/>
    </xf>
    <xf numFmtId="0" fontId="9" fillId="2" borderId="133" xfId="0" applyFont="1" applyFill="1" applyBorder="1" applyAlignment="1">
      <alignment horizontal="left" vertical="center"/>
    </xf>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0" fillId="2" borderId="132" xfId="0" applyFill="1" applyBorder="1" applyAlignment="1">
      <alignment horizontal="left" vertical="center" wrapText="1"/>
    </xf>
    <xf numFmtId="0" fontId="0" fillId="2" borderId="133" xfId="0" applyFill="1" applyBorder="1" applyAlignment="1">
      <alignment horizontal="left" vertical="center" wrapText="1"/>
    </xf>
    <xf numFmtId="0" fontId="8" fillId="0" borderId="0" xfId="0" applyFont="1" applyAlignment="1">
      <alignment horizontal="right" vertical="center" wrapText="1"/>
    </xf>
    <xf numFmtId="0" fontId="8" fillId="0" borderId="65" xfId="0" applyFont="1" applyBorder="1" applyAlignment="1">
      <alignment horizontal="right" vertical="center" wrapText="1"/>
    </xf>
    <xf numFmtId="180" fontId="0" fillId="12" borderId="131" xfId="0" applyNumberFormat="1" applyFill="1" applyBorder="1" applyAlignment="1">
      <alignment horizontal="left" vertical="center" shrinkToFit="1"/>
    </xf>
    <xf numFmtId="180" fontId="0" fillId="12" borderId="131" xfId="0" applyNumberFormat="1" applyFill="1" applyBorder="1" applyAlignment="1">
      <alignment vertical="center" shrinkToFit="1"/>
    </xf>
    <xf numFmtId="0" fontId="9" fillId="2" borderId="132" xfId="0" applyFont="1" applyFill="1" applyBorder="1" applyAlignment="1">
      <alignment horizontal="left" vertical="center" wrapText="1"/>
    </xf>
    <xf numFmtId="0" fontId="9" fillId="2" borderId="133" xfId="0" applyFont="1" applyFill="1" applyBorder="1" applyAlignment="1">
      <alignment horizontal="left" vertical="center" wrapText="1"/>
    </xf>
    <xf numFmtId="0" fontId="16" fillId="2" borderId="91" xfId="0" applyFont="1" applyFill="1" applyBorder="1" applyAlignment="1">
      <alignment horizontal="center" vertical="center" wrapText="1"/>
    </xf>
    <xf numFmtId="0" fontId="16" fillId="2" borderId="228" xfId="0" applyFont="1" applyFill="1" applyBorder="1" applyAlignment="1">
      <alignment horizontal="left" vertical="center" wrapText="1"/>
    </xf>
    <xf numFmtId="0" fontId="16" fillId="2" borderId="229" xfId="0" applyFont="1" applyFill="1" applyBorder="1" applyAlignment="1">
      <alignment horizontal="left" vertical="center" wrapText="1"/>
    </xf>
    <xf numFmtId="0" fontId="16" fillId="2" borderId="91" xfId="0" applyFont="1" applyFill="1" applyBorder="1" applyAlignment="1">
      <alignment horizontal="left" vertical="center" wrapText="1"/>
    </xf>
    <xf numFmtId="0" fontId="16" fillId="2" borderId="139" xfId="0" applyFont="1" applyFill="1" applyBorder="1" applyAlignment="1">
      <alignment horizontal="left" vertical="center" wrapText="1"/>
    </xf>
    <xf numFmtId="0" fontId="22" fillId="12" borderId="219" xfId="0" applyFont="1" applyFill="1" applyBorder="1" applyAlignment="1">
      <alignment horizontal="left" vertical="center" wrapText="1"/>
    </xf>
    <xf numFmtId="0" fontId="22" fillId="12" borderId="0" xfId="0" applyFont="1" applyFill="1" applyAlignment="1">
      <alignment horizontal="left" vertical="center" wrapText="1"/>
    </xf>
    <xf numFmtId="0" fontId="22" fillId="12" borderId="21" xfId="0" applyFont="1" applyFill="1" applyBorder="1" applyAlignment="1">
      <alignment horizontal="left" vertical="center" wrapText="1"/>
    </xf>
    <xf numFmtId="0" fontId="16" fillId="5" borderId="1" xfId="0" applyFont="1" applyFill="1" applyBorder="1" applyAlignment="1" applyProtection="1">
      <alignment horizontal="left" vertical="center" wrapText="1"/>
      <protection locked="0"/>
    </xf>
    <xf numFmtId="0" fontId="17" fillId="2" borderId="219"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29" xfId="0" applyFont="1" applyFill="1" applyBorder="1" applyAlignment="1">
      <alignment horizontal="left" vertical="center" wrapText="1"/>
    </xf>
    <xf numFmtId="0" fontId="17" fillId="2" borderId="91" xfId="0" applyFont="1" applyFill="1" applyBorder="1" applyAlignment="1">
      <alignment horizontal="left" vertical="center" wrapText="1"/>
    </xf>
    <xf numFmtId="0" fontId="17" fillId="2" borderId="139" xfId="0" applyFont="1" applyFill="1" applyBorder="1" applyAlignment="1">
      <alignment horizontal="left" vertical="center" wrapText="1"/>
    </xf>
    <xf numFmtId="0" fontId="17" fillId="2" borderId="212" xfId="0" applyFont="1" applyFill="1" applyBorder="1" applyAlignment="1">
      <alignment horizontal="left" vertical="center" wrapText="1"/>
    </xf>
    <xf numFmtId="0" fontId="16" fillId="16" borderId="1" xfId="0" applyFont="1" applyFill="1" applyBorder="1" applyAlignment="1" applyProtection="1">
      <alignment horizontal="left" vertical="center" wrapText="1" shrinkToFit="1"/>
      <protection locked="0"/>
    </xf>
    <xf numFmtId="0" fontId="16" fillId="5" borderId="1" xfId="2" applyFont="1" applyFill="1" applyBorder="1" applyAlignment="1" applyProtection="1">
      <alignment horizontal="left" vertical="center" wrapText="1"/>
      <protection locked="0"/>
    </xf>
    <xf numFmtId="0" fontId="16" fillId="2" borderId="227" xfId="0" applyFont="1" applyFill="1" applyBorder="1" applyAlignment="1">
      <alignment horizontal="left" vertical="center" wrapText="1"/>
    </xf>
    <xf numFmtId="0" fontId="27" fillId="12" borderId="228" xfId="0" applyFont="1" applyFill="1" applyBorder="1" applyAlignment="1">
      <alignment horizontal="left" vertical="center" wrapText="1"/>
    </xf>
    <xf numFmtId="0" fontId="27" fillId="12" borderId="227" xfId="0" applyFont="1" applyFill="1" applyBorder="1" applyAlignment="1">
      <alignment horizontal="left" vertical="center" wrapText="1"/>
    </xf>
    <xf numFmtId="0" fontId="27" fillId="12" borderId="0" xfId="0" applyFont="1" applyFill="1" applyAlignment="1">
      <alignment horizontal="left" vertical="center" wrapText="1"/>
    </xf>
    <xf numFmtId="0" fontId="27" fillId="12" borderId="21" xfId="0" applyFont="1" applyFill="1" applyBorder="1" applyAlignment="1">
      <alignment horizontal="left" vertical="center" wrapText="1"/>
    </xf>
    <xf numFmtId="0" fontId="22" fillId="5" borderId="1" xfId="0" applyFont="1" applyFill="1" applyBorder="1" applyAlignment="1" applyProtection="1">
      <alignment horizontal="left" vertical="center" wrapText="1"/>
      <protection locked="0"/>
    </xf>
    <xf numFmtId="0" fontId="16" fillId="2" borderId="230"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5" borderId="28" xfId="0" applyFont="1" applyFill="1" applyBorder="1" applyAlignment="1" applyProtection="1">
      <alignment horizontal="left" vertical="center"/>
      <protection locked="0"/>
    </xf>
    <xf numFmtId="0" fontId="16" fillId="5" borderId="13" xfId="0" applyFont="1" applyFill="1" applyBorder="1" applyAlignment="1" applyProtection="1">
      <alignment horizontal="left" vertical="center"/>
      <protection locked="0"/>
    </xf>
    <xf numFmtId="0" fontId="16"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6" fillId="5" borderId="58" xfId="0" applyFont="1" applyFill="1" applyBorder="1" applyAlignment="1" applyProtection="1">
      <alignment horizontal="left" vertical="center"/>
      <protection locked="0"/>
    </xf>
    <xf numFmtId="0" fontId="16" fillId="2" borderId="6" xfId="0" applyFont="1" applyFill="1" applyBorder="1" applyAlignment="1">
      <alignment horizontal="left" vertical="center" wrapText="1"/>
    </xf>
    <xf numFmtId="0" fontId="16" fillId="2" borderId="4" xfId="0" applyFont="1" applyFill="1" applyBorder="1" applyAlignment="1">
      <alignment horizontal="left" vertical="center" wrapText="1"/>
    </xf>
    <xf numFmtId="0" fontId="16" fillId="2" borderId="10" xfId="0" applyFont="1" applyFill="1" applyBorder="1" applyAlignment="1">
      <alignment horizontal="left" vertical="center" wrapText="1"/>
    </xf>
    <xf numFmtId="0" fontId="16" fillId="2" borderId="0" xfId="0" applyFont="1" applyFill="1" applyAlignment="1">
      <alignment horizontal="left" vertical="center" wrapText="1"/>
    </xf>
    <xf numFmtId="0" fontId="17" fillId="2" borderId="32" xfId="0" applyFont="1" applyFill="1" applyBorder="1" applyAlignment="1">
      <alignment horizontal="left" vertical="center" wrapText="1"/>
    </xf>
    <xf numFmtId="0" fontId="17" fillId="2" borderId="33" xfId="0" applyFont="1" applyFill="1" applyBorder="1" applyAlignment="1">
      <alignment horizontal="left" vertical="center" wrapText="1"/>
    </xf>
    <xf numFmtId="0" fontId="17" fillId="2" borderId="213" xfId="0" applyFont="1" applyFill="1" applyBorder="1" applyAlignment="1">
      <alignment horizontal="left" vertical="center" wrapText="1"/>
    </xf>
    <xf numFmtId="0" fontId="17" fillId="2" borderId="132" xfId="0" applyFont="1" applyFill="1" applyBorder="1" applyAlignment="1">
      <alignment horizontal="left" vertical="center" wrapText="1"/>
    </xf>
    <xf numFmtId="0" fontId="17" fillId="2" borderId="133" xfId="0" applyFont="1" applyFill="1" applyBorder="1" applyAlignment="1">
      <alignment horizontal="left" vertical="center" wrapText="1"/>
    </xf>
    <xf numFmtId="0" fontId="17" fillId="2" borderId="214" xfId="0" applyFont="1" applyFill="1" applyBorder="1" applyAlignment="1">
      <alignment horizontal="left" vertical="center" wrapText="1"/>
    </xf>
    <xf numFmtId="0" fontId="16" fillId="16" borderId="28" xfId="0" applyFont="1" applyFill="1" applyBorder="1" applyAlignment="1" applyProtection="1">
      <alignment horizontal="left" vertical="center" wrapText="1" shrinkToFit="1"/>
      <protection locked="0"/>
    </xf>
    <xf numFmtId="0" fontId="16" fillId="16" borderId="13" xfId="0" applyFont="1" applyFill="1" applyBorder="1" applyAlignment="1" applyProtection="1">
      <alignment horizontal="left" vertical="center" wrapText="1" shrinkToFit="1"/>
      <protection locked="0"/>
    </xf>
    <xf numFmtId="0" fontId="16" fillId="16" borderId="58" xfId="0" applyFont="1" applyFill="1" applyBorder="1" applyAlignment="1" applyProtection="1">
      <alignment horizontal="left" vertical="center" wrapText="1" shrinkToFit="1"/>
      <protection locked="0"/>
    </xf>
    <xf numFmtId="0" fontId="16" fillId="16" borderId="28" xfId="0" applyFont="1" applyFill="1" applyBorder="1" applyAlignment="1" applyProtection="1">
      <alignment vertical="center" wrapText="1"/>
      <protection locked="0"/>
    </xf>
    <xf numFmtId="0" fontId="16" fillId="16" borderId="13" xfId="0" applyFont="1" applyFill="1" applyBorder="1" applyAlignment="1" applyProtection="1">
      <alignment vertical="center" wrapText="1"/>
      <protection locked="0"/>
    </xf>
    <xf numFmtId="0" fontId="16" fillId="16" borderId="58" xfId="0" applyFont="1" applyFill="1" applyBorder="1" applyAlignment="1" applyProtection="1">
      <alignment vertical="center" wrapText="1"/>
      <protection locked="0"/>
    </xf>
    <xf numFmtId="0" fontId="16" fillId="5" borderId="69" xfId="0" applyFont="1" applyFill="1" applyBorder="1" applyAlignment="1" applyProtection="1">
      <alignment horizontal="left" vertical="center" wrapText="1" shrinkToFit="1"/>
      <protection locked="0"/>
    </xf>
    <xf numFmtId="0" fontId="16" fillId="5" borderId="72" xfId="0" applyFont="1" applyFill="1" applyBorder="1" applyAlignment="1" applyProtection="1">
      <alignment horizontal="left" vertical="center" wrapText="1" shrinkToFit="1"/>
      <protection locked="0"/>
    </xf>
    <xf numFmtId="0" fontId="16" fillId="5" borderId="60" xfId="0" applyFont="1" applyFill="1" applyBorder="1" applyAlignment="1" applyProtection="1">
      <alignment horizontal="left" vertical="center" wrapText="1" shrinkToFit="1"/>
      <protection locked="0"/>
    </xf>
    <xf numFmtId="0" fontId="16" fillId="5" borderId="28" xfId="2" applyFont="1" applyFill="1" applyBorder="1" applyAlignment="1" applyProtection="1">
      <alignment horizontal="left" vertical="center" wrapText="1"/>
      <protection locked="0"/>
    </xf>
    <xf numFmtId="0" fontId="16" fillId="5" borderId="13" xfId="2" applyFont="1" applyFill="1" applyBorder="1" applyAlignment="1" applyProtection="1">
      <alignment horizontal="left" vertical="center" wrapText="1"/>
      <protection locked="0"/>
    </xf>
    <xf numFmtId="0" fontId="16" fillId="5" borderId="58" xfId="2" applyFont="1" applyFill="1" applyBorder="1" applyAlignment="1" applyProtection="1">
      <alignment horizontal="left" vertical="center" wrapText="1"/>
      <protection locked="0"/>
    </xf>
    <xf numFmtId="184" fontId="16" fillId="18" borderId="28" xfId="0" applyNumberFormat="1" applyFont="1" applyFill="1" applyBorder="1" applyAlignment="1" applyProtection="1">
      <alignment horizontal="center" vertical="center"/>
      <protection locked="0"/>
    </xf>
    <xf numFmtId="184" fontId="16" fillId="18" borderId="13" xfId="0" applyNumberFormat="1" applyFont="1" applyFill="1" applyBorder="1" applyAlignment="1" applyProtection="1">
      <alignment horizontal="center" vertical="center"/>
      <protection locked="0"/>
    </xf>
    <xf numFmtId="184" fontId="16" fillId="18" borderId="58" xfId="0" applyNumberFormat="1" applyFont="1" applyFill="1" applyBorder="1" applyAlignment="1" applyProtection="1">
      <alignment horizontal="center" vertical="center"/>
      <protection locked="0"/>
    </xf>
    <xf numFmtId="0" fontId="16" fillId="16" borderId="28" xfId="0" applyFont="1" applyFill="1" applyBorder="1" applyAlignment="1" applyProtection="1">
      <alignment horizontal="left" vertical="center" wrapText="1"/>
      <protection locked="0"/>
    </xf>
    <xf numFmtId="0" fontId="16" fillId="16" borderId="13" xfId="0" applyFont="1" applyFill="1" applyBorder="1" applyAlignment="1" applyProtection="1">
      <alignment horizontal="left" vertical="center" wrapText="1"/>
      <protection locked="0"/>
    </xf>
    <xf numFmtId="0" fontId="16" fillId="16" borderId="58" xfId="0" applyFont="1" applyFill="1" applyBorder="1" applyAlignment="1" applyProtection="1">
      <alignment horizontal="left" vertical="center" wrapText="1"/>
      <protection locked="0"/>
    </xf>
    <xf numFmtId="0" fontId="16" fillId="2" borderId="230" xfId="0" applyFont="1" applyFill="1" applyBorder="1" applyAlignment="1">
      <alignment horizontal="center" vertical="center"/>
    </xf>
    <xf numFmtId="0" fontId="16" fillId="2" borderId="211" xfId="0" applyFont="1" applyFill="1" applyBorder="1" applyAlignment="1">
      <alignment horizontal="center" vertical="center"/>
    </xf>
    <xf numFmtId="0" fontId="16" fillId="2" borderId="43" xfId="0" applyFont="1" applyFill="1" applyBorder="1" applyAlignment="1">
      <alignment horizontal="center" vertical="center"/>
    </xf>
    <xf numFmtId="0" fontId="84" fillId="2" borderId="228" xfId="0" applyFont="1" applyFill="1" applyBorder="1" applyAlignment="1">
      <alignment horizontal="left" vertical="center" wrapText="1"/>
    </xf>
    <xf numFmtId="0" fontId="16" fillId="2" borderId="219" xfId="0" applyFont="1" applyFill="1" applyBorder="1" applyAlignment="1">
      <alignment horizontal="left" vertical="center" wrapText="1"/>
    </xf>
    <xf numFmtId="0" fontId="16" fillId="12" borderId="228" xfId="0" applyFont="1" applyFill="1" applyBorder="1" applyAlignment="1">
      <alignment horizontal="left" vertical="center"/>
    </xf>
    <xf numFmtId="0" fontId="16" fillId="12" borderId="227" xfId="0" applyFont="1" applyFill="1" applyBorder="1" applyAlignment="1">
      <alignment horizontal="left" vertical="center"/>
    </xf>
    <xf numFmtId="0" fontId="16" fillId="12" borderId="232" xfId="0" applyFont="1" applyFill="1" applyBorder="1" applyAlignment="1">
      <alignment horizontal="left" vertical="center"/>
    </xf>
    <xf numFmtId="0" fontId="16" fillId="12" borderId="66" xfId="0" applyFont="1" applyFill="1" applyBorder="1">
      <alignment vertical="center"/>
    </xf>
    <xf numFmtId="0" fontId="16" fillId="12" borderId="64" xfId="0" applyFont="1" applyFill="1" applyBorder="1">
      <alignment vertical="center"/>
    </xf>
    <xf numFmtId="0" fontId="16" fillId="12" borderId="70" xfId="0" applyFont="1" applyFill="1" applyBorder="1">
      <alignment vertical="center"/>
    </xf>
    <xf numFmtId="0" fontId="16" fillId="21" borderId="131" xfId="0" applyFont="1" applyFill="1" applyBorder="1" applyAlignment="1">
      <alignment horizontal="center" vertical="center"/>
    </xf>
    <xf numFmtId="0" fontId="16" fillId="21" borderId="131" xfId="0" applyFont="1" applyFill="1" applyBorder="1" applyAlignment="1">
      <alignment horizontal="left" vertical="center"/>
    </xf>
    <xf numFmtId="0" fontId="16" fillId="21" borderId="43" xfId="0" applyFont="1" applyFill="1" applyBorder="1" applyAlignment="1">
      <alignment horizontal="left" vertical="center"/>
    </xf>
    <xf numFmtId="0" fontId="16" fillId="21" borderId="132" xfId="0" applyFont="1" applyFill="1" applyBorder="1" applyAlignment="1">
      <alignment horizontal="left" vertical="center"/>
    </xf>
    <xf numFmtId="0" fontId="16" fillId="2" borderId="232" xfId="0" applyFont="1" applyFill="1" applyBorder="1" applyAlignment="1">
      <alignment horizontal="left" vertical="center" wrapText="1"/>
    </xf>
    <xf numFmtId="0" fontId="16" fillId="2" borderId="212" xfId="0" applyFont="1" applyFill="1" applyBorder="1" applyAlignment="1">
      <alignment horizontal="left" vertical="center" wrapText="1"/>
    </xf>
    <xf numFmtId="0" fontId="16" fillId="5" borderId="28" xfId="0" applyFont="1" applyFill="1" applyBorder="1" applyAlignment="1" applyProtection="1">
      <alignment horizontal="left" vertical="center" wrapText="1" shrinkToFit="1"/>
      <protection locked="0"/>
    </xf>
    <xf numFmtId="0" fontId="16" fillId="5" borderId="13" xfId="0" applyFont="1" applyFill="1" applyBorder="1" applyAlignment="1" applyProtection="1">
      <alignment horizontal="left" vertical="center" wrapText="1" shrinkToFit="1"/>
      <protection locked="0"/>
    </xf>
    <xf numFmtId="0" fontId="16" fillId="5" borderId="58" xfId="0" applyFont="1" applyFill="1" applyBorder="1" applyAlignment="1" applyProtection="1">
      <alignment horizontal="left" vertical="center" wrapText="1" shrinkToFit="1"/>
      <protection locked="0"/>
    </xf>
    <xf numFmtId="0" fontId="16" fillId="21" borderId="230" xfId="0" applyFont="1" applyFill="1" applyBorder="1" applyAlignment="1">
      <alignment horizontal="left" vertical="center"/>
    </xf>
    <xf numFmtId="0" fontId="16" fillId="21" borderId="228" xfId="0" applyFont="1" applyFill="1" applyBorder="1" applyAlignment="1">
      <alignment horizontal="left" vertical="center"/>
    </xf>
    <xf numFmtId="0" fontId="16" fillId="18" borderId="28" xfId="0" applyFont="1" applyFill="1" applyBorder="1" applyAlignment="1" applyProtection="1">
      <alignment horizontal="center" vertical="center"/>
      <protection locked="0"/>
    </xf>
    <xf numFmtId="0" fontId="16" fillId="18" borderId="58" xfId="0" applyFont="1" applyFill="1" applyBorder="1" applyAlignment="1" applyProtection="1">
      <alignment horizontal="center" vertical="center"/>
      <protection locked="0"/>
    </xf>
    <xf numFmtId="0" fontId="16" fillId="2" borderId="132" xfId="0" applyFont="1" applyFill="1" applyBorder="1" applyAlignment="1">
      <alignment horizontal="left" vertical="center"/>
    </xf>
    <xf numFmtId="0" fontId="16" fillId="2" borderId="133" xfId="0" applyFont="1" applyFill="1" applyBorder="1" applyAlignment="1">
      <alignment horizontal="left" vertical="center"/>
    </xf>
    <xf numFmtId="0" fontId="16" fillId="4" borderId="28" xfId="0" applyFont="1" applyFill="1" applyBorder="1" applyAlignment="1" applyProtection="1">
      <alignment horizontal="center" vertical="center"/>
      <protection locked="0"/>
    </xf>
    <xf numFmtId="0" fontId="16" fillId="4" borderId="13" xfId="0" applyFont="1" applyFill="1" applyBorder="1" applyAlignment="1" applyProtection="1">
      <alignment horizontal="center" vertical="center"/>
      <protection locked="0"/>
    </xf>
    <xf numFmtId="0" fontId="16" fillId="4" borderId="58" xfId="0" applyFont="1" applyFill="1" applyBorder="1" applyAlignment="1" applyProtection="1">
      <alignment horizontal="center" vertical="center"/>
      <protection locked="0"/>
    </xf>
    <xf numFmtId="0" fontId="16" fillId="4" borderId="28" xfId="0" applyFont="1" applyFill="1" applyBorder="1" applyAlignment="1" applyProtection="1">
      <alignment horizontal="center" vertical="center" shrinkToFit="1"/>
      <protection locked="0"/>
    </xf>
    <xf numFmtId="0" fontId="16" fillId="4" borderId="13" xfId="0" applyFont="1" applyFill="1" applyBorder="1" applyAlignment="1" applyProtection="1">
      <alignment horizontal="center" vertical="center" shrinkToFit="1"/>
      <protection locked="0"/>
    </xf>
    <xf numFmtId="0" fontId="16" fillId="4" borderId="58" xfId="0" applyFont="1" applyFill="1" applyBorder="1" applyAlignment="1" applyProtection="1">
      <alignment horizontal="center" vertical="center" shrinkToFit="1"/>
      <protection locked="0"/>
    </xf>
    <xf numFmtId="180" fontId="0" fillId="12" borderId="132" xfId="0" applyNumberFormat="1" applyFill="1" applyBorder="1" applyAlignment="1">
      <alignment horizontal="left" vertical="center" shrinkToFit="1"/>
    </xf>
    <xf numFmtId="180" fontId="0" fillId="12" borderId="133" xfId="0" applyNumberFormat="1" applyFill="1" applyBorder="1" applyAlignment="1">
      <alignment horizontal="left" vertical="center" shrinkToFit="1"/>
    </xf>
    <xf numFmtId="180" fontId="0" fillId="12" borderId="126" xfId="0" applyNumberFormat="1" applyFill="1" applyBorder="1" applyAlignment="1">
      <alignment horizontal="left" vertical="center" shrinkToFit="1"/>
    </xf>
    <xf numFmtId="0" fontId="18" fillId="0" borderId="0" xfId="0" applyFont="1" applyAlignment="1">
      <alignment horizontal="center" vertical="center"/>
    </xf>
    <xf numFmtId="180" fontId="0" fillId="0" borderId="132" xfId="0" applyNumberFormat="1" applyBorder="1" applyAlignment="1">
      <alignment horizontal="left" vertical="center" shrinkToFit="1"/>
    </xf>
    <xf numFmtId="180" fontId="0" fillId="0" borderId="133" xfId="0" applyNumberFormat="1" applyBorder="1" applyAlignment="1">
      <alignment horizontal="left" vertical="center" shrinkToFit="1"/>
    </xf>
    <xf numFmtId="180" fontId="0" fillId="0" borderId="126" xfId="0" applyNumberFormat="1" applyBorder="1" applyAlignment="1">
      <alignment horizontal="left" vertical="center" shrinkToFit="1"/>
    </xf>
    <xf numFmtId="0" fontId="28" fillId="0" borderId="228" xfId="0" applyFont="1" applyBorder="1" applyAlignment="1">
      <alignment horizontal="left" vertical="center" wrapText="1"/>
    </xf>
    <xf numFmtId="0" fontId="28" fillId="0" borderId="227" xfId="0" applyFont="1" applyBorder="1" applyAlignment="1">
      <alignment horizontal="left" vertical="center" wrapText="1"/>
    </xf>
    <xf numFmtId="0" fontId="28" fillId="0" borderId="229" xfId="0" applyFont="1" applyBorder="1" applyAlignment="1">
      <alignment horizontal="left" vertical="center" wrapText="1"/>
    </xf>
    <xf numFmtId="0" fontId="16" fillId="0" borderId="211" xfId="0" applyFont="1" applyBorder="1" applyAlignment="1">
      <alignment horizontal="left" vertical="center"/>
    </xf>
    <xf numFmtId="0" fontId="16" fillId="0" borderId="219" xfId="0" applyFont="1" applyBorder="1" applyAlignment="1">
      <alignment horizontal="left" vertical="center"/>
    </xf>
    <xf numFmtId="0" fontId="16" fillId="17" borderId="28" xfId="0" applyFont="1" applyFill="1" applyBorder="1" applyAlignment="1" applyProtection="1">
      <alignment horizontal="left" vertical="top" wrapText="1"/>
      <protection locked="0"/>
    </xf>
    <xf numFmtId="0" fontId="16" fillId="17" borderId="13" xfId="0" applyFont="1" applyFill="1" applyBorder="1" applyAlignment="1" applyProtection="1">
      <alignment horizontal="left" vertical="top" wrapText="1"/>
      <protection locked="0"/>
    </xf>
    <xf numFmtId="0" fontId="16"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9" xfId="0" applyBorder="1" applyAlignment="1">
      <alignment horizontal="left" vertical="top" wrapText="1"/>
    </xf>
    <xf numFmtId="0" fontId="0" fillId="0" borderId="140" xfId="0" applyBorder="1" applyAlignment="1">
      <alignment horizontal="left" vertical="top" wrapText="1"/>
    </xf>
    <xf numFmtId="0" fontId="16" fillId="0" borderId="125" xfId="0" applyFont="1" applyBorder="1" applyAlignment="1">
      <alignment horizontal="left" vertical="center"/>
    </xf>
    <xf numFmtId="0" fontId="16" fillId="0" borderId="155" xfId="0" applyFont="1" applyBorder="1" applyAlignment="1">
      <alignment horizontal="left" vertical="center"/>
    </xf>
    <xf numFmtId="0" fontId="16" fillId="0" borderId="43" xfId="0" applyFont="1" applyBorder="1" applyAlignment="1">
      <alignment horizontal="left" vertical="center"/>
    </xf>
    <xf numFmtId="0" fontId="16" fillId="0" borderId="91" xfId="0" applyFont="1" applyBorder="1" applyAlignment="1">
      <alignment horizontal="left" vertical="center"/>
    </xf>
    <xf numFmtId="0" fontId="84" fillId="17" borderId="28" xfId="0" applyFont="1" applyFill="1" applyBorder="1" applyAlignment="1" applyProtection="1">
      <alignment horizontal="left" vertical="top" wrapText="1"/>
      <protection locked="0"/>
    </xf>
    <xf numFmtId="0" fontId="84" fillId="17" borderId="13" xfId="0" applyFont="1" applyFill="1" applyBorder="1" applyAlignment="1" applyProtection="1">
      <alignment horizontal="left" vertical="top"/>
      <protection locked="0"/>
    </xf>
    <xf numFmtId="0" fontId="84" fillId="17" borderId="58" xfId="0" applyFont="1" applyFill="1" applyBorder="1" applyAlignment="1" applyProtection="1">
      <alignment horizontal="left" vertical="top"/>
      <protection locked="0"/>
    </xf>
    <xf numFmtId="0" fontId="84" fillId="17" borderId="28" xfId="0" applyFont="1" applyFill="1" applyBorder="1" applyAlignment="1" applyProtection="1">
      <alignment horizontal="left" vertical="top"/>
      <protection locked="0"/>
    </xf>
    <xf numFmtId="0" fontId="16" fillId="21" borderId="1" xfId="0" applyFont="1" applyFill="1" applyBorder="1">
      <alignment vertical="center"/>
    </xf>
    <xf numFmtId="0" fontId="16" fillId="21" borderId="28" xfId="0" applyFont="1" applyFill="1" applyBorder="1" applyAlignment="1">
      <alignment horizontal="left" vertical="center" wrapText="1"/>
    </xf>
    <xf numFmtId="0" fontId="16" fillId="21" borderId="13" xfId="0" applyFont="1" applyFill="1" applyBorder="1" applyAlignment="1">
      <alignment horizontal="left" vertical="center" wrapText="1"/>
    </xf>
    <xf numFmtId="0" fontId="16" fillId="21" borderId="58" xfId="0" applyFont="1" applyFill="1" applyBorder="1" applyAlignment="1">
      <alignment horizontal="left" vertical="center" wrapText="1"/>
    </xf>
    <xf numFmtId="0" fontId="84" fillId="17" borderId="13" xfId="0" applyFont="1" applyFill="1" applyBorder="1" applyAlignment="1" applyProtection="1">
      <alignment horizontal="left" vertical="top" wrapText="1"/>
      <protection locked="0"/>
    </xf>
    <xf numFmtId="0" fontId="84" fillId="17" borderId="58" xfId="0" applyFont="1" applyFill="1" applyBorder="1" applyAlignment="1" applyProtection="1">
      <alignment horizontal="left" vertical="top" wrapText="1"/>
      <protection locked="0"/>
    </xf>
    <xf numFmtId="0" fontId="16" fillId="33" borderId="1" xfId="0" applyFont="1" applyFill="1" applyBorder="1" applyAlignment="1" applyProtection="1">
      <alignment horizontal="center" vertical="center" wrapText="1"/>
      <protection locked="0"/>
    </xf>
    <xf numFmtId="0" fontId="43" fillId="28" borderId="0" xfId="0" applyFont="1" applyFill="1" applyAlignment="1">
      <alignment horizontal="left" vertical="top" wrapText="1"/>
    </xf>
    <xf numFmtId="0" fontId="16" fillId="29" borderId="1" xfId="0" applyFont="1" applyFill="1" applyBorder="1" applyAlignment="1">
      <alignment horizontal="center" vertical="center" wrapText="1"/>
    </xf>
    <xf numFmtId="0" fontId="16" fillId="28" borderId="1" xfId="0" applyFont="1" applyFill="1" applyBorder="1" applyAlignment="1">
      <alignment horizontal="center" vertical="center" wrapText="1"/>
    </xf>
    <xf numFmtId="0" fontId="16" fillId="28" borderId="0" xfId="0" applyFont="1" applyFill="1" applyAlignment="1">
      <alignment vertical="center" wrapText="1"/>
    </xf>
    <xf numFmtId="0" fontId="18" fillId="28" borderId="0" xfId="0" applyFont="1" applyFill="1" applyAlignment="1">
      <alignment horizontal="center" vertical="center" wrapText="1"/>
    </xf>
    <xf numFmtId="0" fontId="44" fillId="28" borderId="0" xfId="0" applyFont="1" applyFill="1" applyAlignment="1">
      <alignment horizontal="right" vertical="center" shrinkToFit="1"/>
    </xf>
    <xf numFmtId="0" fontId="16" fillId="0" borderId="80" xfId="0" applyFont="1" applyBorder="1" applyAlignment="1">
      <alignment horizontal="left" vertical="center" wrapText="1"/>
    </xf>
    <xf numFmtId="0" fontId="16" fillId="0" borderId="14" xfId="0" applyFont="1" applyBorder="1" applyAlignment="1">
      <alignment horizontal="left" vertical="center" wrapText="1"/>
    </xf>
    <xf numFmtId="0" fontId="16" fillId="7" borderId="28" xfId="0" applyFont="1" applyFill="1" applyBorder="1" applyAlignment="1" applyProtection="1">
      <alignment horizontal="center" vertical="center"/>
      <protection locked="0"/>
    </xf>
    <xf numFmtId="0" fontId="16" fillId="7" borderId="13" xfId="0" applyFont="1" applyFill="1" applyBorder="1" applyAlignment="1" applyProtection="1">
      <alignment horizontal="center" vertical="center"/>
      <protection locked="0"/>
    </xf>
    <xf numFmtId="0" fontId="16" fillId="7" borderId="58" xfId="0" applyFont="1" applyFill="1" applyBorder="1" applyAlignment="1" applyProtection="1">
      <alignment horizontal="center" vertical="center"/>
      <protection locked="0"/>
    </xf>
    <xf numFmtId="0" fontId="16" fillId="23" borderId="52" xfId="0" applyFont="1" applyFill="1" applyBorder="1" applyAlignment="1">
      <alignment horizontal="center" vertical="center" shrinkToFit="1"/>
    </xf>
    <xf numFmtId="0" fontId="16" fillId="23" borderId="0" xfId="0" applyFont="1" applyFill="1" applyAlignment="1">
      <alignment horizontal="center" vertical="center" shrinkToFit="1"/>
    </xf>
    <xf numFmtId="0" fontId="16" fillId="21" borderId="228" xfId="0" applyFont="1" applyFill="1" applyBorder="1" applyAlignment="1">
      <alignment horizontal="left" vertical="center" wrapText="1"/>
    </xf>
    <xf numFmtId="0" fontId="16" fillId="21" borderId="227" xfId="0" applyFont="1" applyFill="1" applyBorder="1" applyAlignment="1">
      <alignment horizontal="left" vertical="center" wrapText="1"/>
    </xf>
    <xf numFmtId="0" fontId="16" fillId="21" borderId="233" xfId="0" applyFont="1" applyFill="1" applyBorder="1" applyAlignment="1">
      <alignment horizontal="left" vertical="center" wrapText="1"/>
    </xf>
    <xf numFmtId="0" fontId="16" fillId="17" borderId="228" xfId="0" applyFont="1" applyFill="1" applyBorder="1" applyAlignment="1" applyProtection="1">
      <alignment horizontal="left" vertical="top"/>
      <protection locked="0"/>
    </xf>
    <xf numFmtId="0" fontId="16" fillId="17" borderId="227" xfId="0" applyFont="1" applyFill="1" applyBorder="1" applyAlignment="1" applyProtection="1">
      <alignment horizontal="left" vertical="top"/>
      <protection locked="0"/>
    </xf>
    <xf numFmtId="0" fontId="16" fillId="17" borderId="229" xfId="0" applyFont="1" applyFill="1" applyBorder="1" applyAlignment="1" applyProtection="1">
      <alignment horizontal="left" vertical="top"/>
      <protection locked="0"/>
    </xf>
    <xf numFmtId="0" fontId="16" fillId="17" borderId="219" xfId="0" applyFont="1" applyFill="1" applyBorder="1" applyAlignment="1" applyProtection="1">
      <alignment horizontal="left" vertical="top"/>
      <protection locked="0"/>
    </xf>
    <xf numFmtId="0" fontId="16" fillId="17" borderId="0" xfId="0" applyFont="1" applyFill="1" applyAlignment="1" applyProtection="1">
      <alignment horizontal="left" vertical="top"/>
      <protection locked="0"/>
    </xf>
    <xf numFmtId="0" fontId="16" fillId="17" borderId="21" xfId="0" applyFont="1" applyFill="1" applyBorder="1" applyAlignment="1" applyProtection="1">
      <alignment horizontal="left" vertical="top"/>
      <protection locked="0"/>
    </xf>
    <xf numFmtId="0" fontId="16" fillId="17" borderId="91" xfId="0" applyFont="1" applyFill="1" applyBorder="1" applyAlignment="1" applyProtection="1">
      <alignment horizontal="left" vertical="top"/>
      <protection locked="0"/>
    </xf>
    <xf numFmtId="0" fontId="16" fillId="17" borderId="139" xfId="0" applyFont="1" applyFill="1" applyBorder="1" applyAlignment="1" applyProtection="1">
      <alignment horizontal="left" vertical="top"/>
      <protection locked="0"/>
    </xf>
    <xf numFmtId="0" fontId="16" fillId="17" borderId="140" xfId="0" applyFont="1" applyFill="1" applyBorder="1" applyAlignment="1" applyProtection="1">
      <alignment horizontal="left" vertical="top"/>
      <protection locked="0"/>
    </xf>
    <xf numFmtId="0" fontId="16" fillId="23" borderId="187" xfId="0" applyFont="1" applyFill="1" applyBorder="1" applyAlignment="1">
      <alignment horizontal="center" vertical="center" shrinkToFit="1"/>
    </xf>
    <xf numFmtId="0" fontId="16" fillId="23" borderId="227" xfId="0" applyFont="1" applyFill="1" applyBorder="1" applyAlignment="1">
      <alignment horizontal="center" vertical="center" shrinkToFit="1"/>
    </xf>
    <xf numFmtId="0" fontId="16" fillId="2" borderId="91" xfId="0" applyFont="1" applyFill="1" applyBorder="1" applyAlignment="1">
      <alignment horizontal="center" vertical="center"/>
    </xf>
    <xf numFmtId="0" fontId="16" fillId="2" borderId="131" xfId="0" applyFont="1" applyFill="1" applyBorder="1" applyAlignment="1">
      <alignment horizontal="center" vertical="center"/>
    </xf>
    <xf numFmtId="0" fontId="16" fillId="2" borderId="132" xfId="0" applyFont="1" applyFill="1" applyBorder="1" applyAlignment="1">
      <alignment horizontal="center" vertical="center"/>
    </xf>
    <xf numFmtId="0" fontId="36" fillId="17" borderId="28" xfId="9" applyFill="1" applyBorder="1" applyAlignment="1" applyProtection="1">
      <alignment horizontal="left" vertical="top" wrapText="1" shrinkToFit="1"/>
      <protection locked="0"/>
    </xf>
    <xf numFmtId="0" fontId="36" fillId="17" borderId="13" xfId="9" applyFill="1" applyBorder="1" applyAlignment="1" applyProtection="1">
      <alignment horizontal="left" vertical="top" shrinkToFit="1"/>
      <protection locked="0"/>
    </xf>
    <xf numFmtId="0" fontId="36" fillId="17" borderId="58" xfId="9" applyFill="1" applyBorder="1" applyAlignment="1" applyProtection="1">
      <alignment horizontal="left" vertical="top" shrinkToFit="1"/>
      <protection locked="0"/>
    </xf>
    <xf numFmtId="0" fontId="36" fillId="17" borderId="13" xfId="9" applyFill="1" applyBorder="1" applyAlignment="1" applyProtection="1">
      <alignment horizontal="left" vertical="top" wrapText="1" shrinkToFit="1"/>
      <protection locked="0"/>
    </xf>
    <xf numFmtId="0" fontId="36" fillId="17" borderId="58" xfId="9" applyFill="1" applyBorder="1" applyAlignment="1" applyProtection="1">
      <alignment horizontal="left" vertical="top" wrapText="1" shrinkToFit="1"/>
      <protection locked="0"/>
    </xf>
    <xf numFmtId="0" fontId="0" fillId="12" borderId="72" xfId="0" applyFill="1" applyBorder="1" applyAlignment="1">
      <alignment horizontal="left" vertical="center"/>
    </xf>
    <xf numFmtId="0" fontId="0" fillId="12" borderId="110" xfId="0" applyFill="1" applyBorder="1" applyAlignment="1">
      <alignment horizontal="left" vertical="center"/>
    </xf>
    <xf numFmtId="0" fontId="36" fillId="17" borderId="28" xfId="9" applyFill="1" applyBorder="1" applyAlignment="1" applyProtection="1">
      <alignment horizontal="left" vertical="top" shrinkToFit="1"/>
      <protection locked="0"/>
    </xf>
    <xf numFmtId="0" fontId="50" fillId="17" borderId="28" xfId="9" applyFont="1" applyFill="1" applyBorder="1" applyAlignment="1" applyProtection="1">
      <alignment horizontal="left" vertical="top" wrapText="1" shrinkToFit="1"/>
      <protection locked="0"/>
    </xf>
    <xf numFmtId="0" fontId="50" fillId="17" borderId="13" xfId="9" applyFont="1" applyFill="1" applyBorder="1" applyAlignment="1" applyProtection="1">
      <alignment horizontal="left" vertical="top" shrinkToFit="1"/>
      <protection locked="0"/>
    </xf>
    <xf numFmtId="0" fontId="50" fillId="17" borderId="58" xfId="9" applyFont="1" applyFill="1" applyBorder="1" applyAlignment="1" applyProtection="1">
      <alignment horizontal="left" vertical="top" shrinkToFit="1"/>
      <protection locked="0"/>
    </xf>
    <xf numFmtId="0" fontId="50" fillId="17" borderId="13" xfId="9" applyFont="1" applyFill="1" applyBorder="1" applyAlignment="1" applyProtection="1">
      <alignment horizontal="left" vertical="top" wrapText="1" shrinkToFit="1"/>
      <protection locked="0"/>
    </xf>
    <xf numFmtId="0" fontId="50" fillId="17" borderId="58" xfId="9" applyFont="1" applyFill="1" applyBorder="1" applyAlignment="1" applyProtection="1">
      <alignment horizontal="left" vertical="top" wrapText="1" shrinkToFit="1"/>
      <protection locked="0"/>
    </xf>
    <xf numFmtId="0" fontId="16" fillId="21" borderId="193" xfId="0" applyFont="1" applyFill="1" applyBorder="1" applyAlignment="1">
      <alignment horizontal="left" vertical="center" wrapText="1"/>
    </xf>
    <xf numFmtId="0" fontId="16" fillId="21" borderId="221" xfId="0" applyFont="1" applyFill="1" applyBorder="1" applyAlignment="1">
      <alignment horizontal="left" vertical="center" wrapText="1"/>
    </xf>
    <xf numFmtId="0" fontId="41" fillId="12" borderId="0" xfId="0" applyFont="1" applyFill="1" applyAlignment="1">
      <alignment horizontal="left" vertical="top" wrapText="1"/>
    </xf>
    <xf numFmtId="0" fontId="60" fillId="13" borderId="0" xfId="0" applyFont="1" applyFill="1" applyAlignment="1">
      <alignment horizontal="center" vertical="center"/>
    </xf>
    <xf numFmtId="0" fontId="8" fillId="13" borderId="0" xfId="0" applyFont="1" applyFill="1" applyAlignment="1">
      <alignment horizontal="left" vertical="center" wrapText="1"/>
    </xf>
    <xf numFmtId="0" fontId="22" fillId="23" borderId="0" xfId="0" applyFont="1" applyFill="1" applyAlignment="1">
      <alignment horizontal="left" vertical="center" wrapText="1"/>
    </xf>
    <xf numFmtId="180" fontId="8" fillId="13" borderId="132" xfId="0" applyNumberFormat="1" applyFont="1" applyFill="1" applyBorder="1" applyAlignment="1">
      <alignment horizontal="left" vertical="center" shrinkToFit="1"/>
    </xf>
    <xf numFmtId="180" fontId="8" fillId="13" borderId="133" xfId="0" applyNumberFormat="1" applyFont="1" applyFill="1" applyBorder="1" applyAlignment="1">
      <alignment horizontal="left" vertical="center" shrinkToFit="1"/>
    </xf>
    <xf numFmtId="180" fontId="8" fillId="13" borderId="126" xfId="0" applyNumberFormat="1" applyFont="1" applyFill="1" applyBorder="1" applyAlignment="1">
      <alignment horizontal="left" vertical="center" shrinkToFit="1"/>
    </xf>
    <xf numFmtId="0" fontId="0" fillId="13" borderId="0" xfId="0" applyFill="1" applyAlignment="1">
      <alignment horizontal="left" vertical="center" wrapText="1"/>
    </xf>
    <xf numFmtId="0" fontId="22" fillId="17" borderId="28" xfId="0" applyFont="1" applyFill="1" applyBorder="1" applyAlignment="1" applyProtection="1">
      <alignment horizontal="left" vertical="center"/>
      <protection locked="0"/>
    </xf>
    <xf numFmtId="0" fontId="22" fillId="17" borderId="13" xfId="0" applyFont="1" applyFill="1" applyBorder="1" applyAlignment="1" applyProtection="1">
      <alignment horizontal="left" vertical="center"/>
      <protection locked="0"/>
    </xf>
    <xf numFmtId="0" fontId="22" fillId="21" borderId="28" xfId="0" applyFont="1" applyFill="1" applyBorder="1" applyAlignment="1">
      <alignment horizontal="left" vertical="center"/>
    </xf>
    <xf numFmtId="0" fontId="22" fillId="21" borderId="58" xfId="0" applyFont="1" applyFill="1" applyBorder="1" applyAlignment="1">
      <alignment horizontal="left" vertical="center"/>
    </xf>
    <xf numFmtId="0" fontId="22" fillId="21" borderId="66" xfId="0" applyFont="1" applyFill="1" applyBorder="1" applyAlignment="1">
      <alignment horizontal="center" vertical="center"/>
    </xf>
    <xf numFmtId="0" fontId="22" fillId="21" borderId="68" xfId="0" applyFont="1" applyFill="1" applyBorder="1" applyAlignment="1">
      <alignment horizontal="center" vertical="center"/>
    </xf>
    <xf numFmtId="49" fontId="35" fillId="5" borderId="28" xfId="2" applyNumberFormat="1" applyFill="1" applyBorder="1" applyAlignment="1" applyProtection="1">
      <alignment horizontal="left" vertical="center"/>
      <protection locked="0"/>
    </xf>
    <xf numFmtId="49" fontId="16" fillId="5" borderId="13" xfId="0" applyNumberFormat="1" applyFont="1" applyFill="1" applyBorder="1" applyAlignment="1" applyProtection="1">
      <alignment horizontal="left" vertical="center"/>
      <protection locked="0"/>
    </xf>
    <xf numFmtId="49" fontId="16" fillId="5" borderId="58" xfId="0" applyNumberFormat="1" applyFont="1" applyFill="1" applyBorder="1" applyAlignment="1" applyProtection="1">
      <alignment horizontal="left" vertical="center"/>
      <protection locked="0"/>
    </xf>
    <xf numFmtId="0" fontId="16" fillId="12" borderId="0" xfId="0" applyFont="1" applyFill="1" applyAlignment="1">
      <alignment horizontal="left" vertical="center"/>
    </xf>
    <xf numFmtId="180" fontId="9" fillId="12" borderId="133" xfId="0" applyNumberFormat="1" applyFont="1" applyFill="1" applyBorder="1" applyAlignment="1">
      <alignment horizontal="left" vertical="center" shrinkToFit="1"/>
    </xf>
    <xf numFmtId="0" fontId="24" fillId="2" borderId="219" xfId="0" applyFont="1" applyFill="1" applyBorder="1" applyAlignment="1">
      <alignment horizontal="left" vertical="center" wrapText="1"/>
    </xf>
    <xf numFmtId="0" fontId="0" fillId="0" borderId="61" xfId="0" applyBorder="1" applyAlignment="1">
      <alignment horizontal="left" vertical="center" wrapText="1"/>
    </xf>
    <xf numFmtId="0" fontId="18" fillId="12" borderId="0" xfId="3" applyFont="1" applyFill="1" applyAlignment="1">
      <alignment horizontal="center" vertical="center" wrapText="1"/>
    </xf>
    <xf numFmtId="49" fontId="16" fillId="5" borderId="28" xfId="0" applyNumberFormat="1" applyFont="1" applyFill="1" applyBorder="1" applyAlignment="1" applyProtection="1">
      <alignment horizontal="left" vertical="center"/>
      <protection locked="0"/>
    </xf>
    <xf numFmtId="0" fontId="0" fillId="2" borderId="219" xfId="0" applyFill="1" applyBorder="1" applyAlignment="1">
      <alignment horizontal="center" vertical="center" wrapText="1"/>
    </xf>
    <xf numFmtId="0" fontId="0" fillId="0" borderId="61" xfId="0" applyBorder="1" applyAlignment="1">
      <alignment horizontal="center" vertical="center" wrapText="1"/>
    </xf>
    <xf numFmtId="0" fontId="0" fillId="2" borderId="91" xfId="0" applyFill="1" applyBorder="1" applyAlignment="1">
      <alignment horizontal="center" vertical="center" wrapText="1"/>
    </xf>
    <xf numFmtId="0" fontId="0" fillId="0" borderId="104" xfId="0" applyBorder="1" applyAlignment="1">
      <alignment horizontal="center" vertical="center" wrapText="1"/>
    </xf>
    <xf numFmtId="0" fontId="24" fillId="2" borderId="31" xfId="0" applyFont="1" applyFill="1" applyBorder="1" applyAlignment="1">
      <alignment horizontal="left" vertical="center" wrapText="1"/>
    </xf>
    <xf numFmtId="0" fontId="24" fillId="0" borderId="17" xfId="0" applyFont="1" applyBorder="1" applyAlignment="1">
      <alignment horizontal="left" vertical="center" wrapTex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32" xfId="0" applyBorder="1" applyAlignment="1">
      <alignment horizontal="center" vertical="center" shrinkToFit="1"/>
    </xf>
    <xf numFmtId="0" fontId="0" fillId="0" borderId="126" xfId="0" applyBorder="1" applyAlignment="1">
      <alignment horizontal="center" vertical="center" shrinkToFit="1"/>
    </xf>
    <xf numFmtId="0" fontId="0" fillId="0" borderId="91" xfId="0" applyBorder="1" applyAlignment="1">
      <alignment horizontal="center" vertical="center" shrinkToFit="1"/>
    </xf>
    <xf numFmtId="0" fontId="0" fillId="0" borderId="140" xfId="0" applyBorder="1" applyAlignment="1">
      <alignment horizontal="center" vertical="center" shrinkToFit="1"/>
    </xf>
    <xf numFmtId="0" fontId="0" fillId="21" borderId="228" xfId="0" applyFill="1" applyBorder="1" applyAlignment="1">
      <alignment horizontal="left" vertical="center"/>
    </xf>
    <xf numFmtId="0" fontId="0" fillId="21" borderId="227" xfId="0" applyFill="1" applyBorder="1" applyAlignment="1">
      <alignment horizontal="left" vertical="center"/>
    </xf>
    <xf numFmtId="0" fontId="0" fillId="21" borderId="229" xfId="0" applyFill="1" applyBorder="1" applyAlignment="1">
      <alignment horizontal="left" vertical="center"/>
    </xf>
    <xf numFmtId="0" fontId="0" fillId="17" borderId="69" xfId="0" applyFill="1" applyBorder="1" applyAlignment="1" applyProtection="1">
      <alignment horizontal="left" vertical="center" wrapText="1"/>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9" fillId="12" borderId="132" xfId="0" applyNumberFormat="1" applyFont="1" applyFill="1" applyBorder="1" applyAlignment="1">
      <alignment horizontal="left" vertical="center" wrapText="1"/>
    </xf>
    <xf numFmtId="180" fontId="9" fillId="12" borderId="133" xfId="0" applyNumberFormat="1" applyFont="1" applyFill="1" applyBorder="1" applyAlignment="1">
      <alignment horizontal="left" vertical="center" wrapText="1"/>
    </xf>
    <xf numFmtId="180" fontId="9" fillId="12" borderId="126" xfId="0" applyNumberFormat="1" applyFont="1" applyFill="1" applyBorder="1" applyAlignment="1">
      <alignment horizontal="left" vertical="center" wrapText="1"/>
    </xf>
    <xf numFmtId="0" fontId="0" fillId="21" borderId="132" xfId="0" applyFill="1" applyBorder="1" applyAlignment="1">
      <alignment horizontal="center" vertical="center" wrapText="1"/>
    </xf>
    <xf numFmtId="0" fontId="0" fillId="21" borderId="133" xfId="0" applyFill="1" applyBorder="1" applyAlignment="1">
      <alignment horizontal="center" vertical="center" wrapText="1"/>
    </xf>
    <xf numFmtId="0" fontId="0" fillId="21" borderId="126"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12" fillId="12" borderId="0" xfId="0" applyFont="1" applyFill="1" applyAlignment="1">
      <alignment horizontal="left" wrapText="1"/>
    </xf>
    <xf numFmtId="0" fontId="0" fillId="0" borderId="130" xfId="0" applyBorder="1" applyAlignment="1">
      <alignment horizontal="center" vertical="center" shrinkToFit="1"/>
    </xf>
    <xf numFmtId="0" fontId="17" fillId="21" borderId="228" xfId="0" applyFont="1" applyFill="1" applyBorder="1" applyAlignment="1">
      <alignment horizontal="left" vertical="center" wrapText="1"/>
    </xf>
    <xf numFmtId="0" fontId="17" fillId="21" borderId="227" xfId="0" applyFont="1" applyFill="1" applyBorder="1" applyAlignment="1">
      <alignment horizontal="left" vertical="center" wrapText="1"/>
    </xf>
    <xf numFmtId="0" fontId="17" fillId="0" borderId="0" xfId="0" applyFont="1" applyAlignment="1">
      <alignment horizontal="left" vertical="center" wrapText="1"/>
    </xf>
    <xf numFmtId="0" fontId="17" fillId="21" borderId="113" xfId="0" applyFont="1" applyFill="1" applyBorder="1" applyAlignment="1">
      <alignment horizontal="left" vertical="center" wrapText="1"/>
    </xf>
    <xf numFmtId="0" fontId="17" fillId="21" borderId="114" xfId="0" applyFont="1" applyFill="1" applyBorder="1" applyAlignment="1">
      <alignment horizontal="left" vertical="center" wrapText="1"/>
    </xf>
    <xf numFmtId="0" fontId="8" fillId="12" borderId="132" xfId="0" applyFont="1" applyFill="1" applyBorder="1" applyAlignment="1">
      <alignment horizontal="center" vertical="center" wrapText="1"/>
    </xf>
    <xf numFmtId="0" fontId="8" fillId="12" borderId="133" xfId="0" applyFont="1" applyFill="1" applyBorder="1" applyAlignment="1">
      <alignment horizontal="center" vertical="center" wrapText="1"/>
    </xf>
    <xf numFmtId="0" fontId="8" fillId="2" borderId="228" xfId="0" applyFont="1" applyFill="1" applyBorder="1" applyAlignment="1">
      <alignment horizontal="center" vertical="center" wrapText="1"/>
    </xf>
    <xf numFmtId="0" fontId="8" fillId="2" borderId="229" xfId="0" applyFont="1" applyFill="1" applyBorder="1" applyAlignment="1">
      <alignment horizontal="center" vertical="center" wrapText="1"/>
    </xf>
    <xf numFmtId="0" fontId="0" fillId="12" borderId="132" xfId="0" applyFill="1" applyBorder="1" applyAlignment="1">
      <alignment horizontal="center" vertical="center"/>
    </xf>
    <xf numFmtId="0" fontId="0" fillId="12" borderId="126" xfId="0" applyFill="1" applyBorder="1" applyAlignment="1">
      <alignment horizontal="center" vertical="center"/>
    </xf>
    <xf numFmtId="0" fontId="17" fillId="21" borderId="132" xfId="0" applyFont="1" applyFill="1" applyBorder="1" applyAlignment="1">
      <alignment horizontal="left" vertical="center" wrapText="1"/>
    </xf>
    <xf numFmtId="0" fontId="17" fillId="21" borderId="133" xfId="0" applyFont="1" applyFill="1" applyBorder="1" applyAlignment="1">
      <alignment horizontal="left" vertical="center" wrapText="1"/>
    </xf>
    <xf numFmtId="0" fontId="17" fillId="21" borderId="130" xfId="0" applyFont="1" applyFill="1" applyBorder="1" applyAlignment="1">
      <alignment horizontal="left" vertical="center" wrapText="1"/>
    </xf>
    <xf numFmtId="0" fontId="12" fillId="0" borderId="0" xfId="0" applyFont="1" applyAlignment="1">
      <alignment horizontal="left" wrapText="1"/>
    </xf>
    <xf numFmtId="0" fontId="12" fillId="0" borderId="139" xfId="0" applyFont="1" applyBorder="1" applyAlignment="1">
      <alignment horizontal="left" wrapText="1"/>
    </xf>
    <xf numFmtId="0" fontId="8" fillId="2" borderId="132" xfId="0" applyFont="1" applyFill="1" applyBorder="1" applyAlignment="1">
      <alignment horizontal="center" vertical="center" wrapText="1"/>
    </xf>
    <xf numFmtId="0" fontId="8" fillId="2" borderId="126" xfId="0" applyFont="1" applyFill="1" applyBorder="1" applyAlignment="1">
      <alignment horizontal="center" vertical="center" wrapText="1"/>
    </xf>
    <xf numFmtId="0" fontId="17" fillId="0" borderId="0" xfId="0" applyFont="1" applyAlignment="1">
      <alignment horizontal="left" vertical="top"/>
    </xf>
    <xf numFmtId="0" fontId="28" fillId="12" borderId="0" xfId="0" applyFont="1" applyFill="1" applyAlignment="1">
      <alignment horizontal="left" vertical="center" wrapText="1"/>
    </xf>
    <xf numFmtId="0" fontId="43" fillId="12" borderId="0" xfId="0" applyFont="1" applyFill="1" applyAlignment="1">
      <alignment horizontal="left" vertical="top" wrapText="1"/>
    </xf>
    <xf numFmtId="0" fontId="16" fillId="2" borderId="139" xfId="0" applyFont="1" applyFill="1" applyBorder="1" applyAlignment="1">
      <alignment horizontal="center" vertical="center"/>
    </xf>
    <xf numFmtId="0" fontId="16" fillId="2" borderId="140" xfId="0" applyFont="1" applyFill="1" applyBorder="1" applyAlignment="1">
      <alignment horizontal="center" vertical="center"/>
    </xf>
    <xf numFmtId="0" fontId="16" fillId="2" borderId="131" xfId="0" applyFont="1" applyFill="1" applyBorder="1" applyAlignment="1">
      <alignment horizontal="center" vertical="center" shrinkToFit="1"/>
    </xf>
    <xf numFmtId="0" fontId="16" fillId="12" borderId="132" xfId="0" applyFont="1" applyFill="1" applyBorder="1" applyAlignment="1">
      <alignment horizontal="left" vertical="center" wrapText="1"/>
    </xf>
    <xf numFmtId="0" fontId="16" fillId="12" borderId="133" xfId="0" applyFont="1" applyFill="1" applyBorder="1" applyAlignment="1">
      <alignment horizontal="left" vertical="center" wrapText="1"/>
    </xf>
    <xf numFmtId="0" fontId="16" fillId="12" borderId="126" xfId="0" applyFont="1" applyFill="1" applyBorder="1" applyAlignment="1">
      <alignment horizontal="left" vertical="center" wrapText="1"/>
    </xf>
    <xf numFmtId="0" fontId="16" fillId="12" borderId="66" xfId="0" applyFont="1" applyFill="1" applyBorder="1" applyAlignment="1">
      <alignment horizontal="left" vertical="center" wrapText="1"/>
    </xf>
    <xf numFmtId="0" fontId="16" fillId="12" borderId="64" xfId="0" applyFont="1" applyFill="1" applyBorder="1" applyAlignment="1">
      <alignment horizontal="left" vertical="center" wrapText="1"/>
    </xf>
    <xf numFmtId="0" fontId="16" fillId="12" borderId="68" xfId="0" applyFont="1" applyFill="1" applyBorder="1" applyAlignment="1">
      <alignment horizontal="left" vertical="center" wrapText="1"/>
    </xf>
    <xf numFmtId="0" fontId="62" fillId="17" borderId="28" xfId="0" applyFont="1" applyFill="1" applyBorder="1" applyAlignment="1" applyProtection="1">
      <alignment horizontal="center" vertical="center" wrapText="1"/>
      <protection locked="0"/>
    </xf>
    <xf numFmtId="0" fontId="62" fillId="17" borderId="58" xfId="0" applyFont="1" applyFill="1" applyBorder="1" applyAlignment="1" applyProtection="1">
      <alignment horizontal="center" vertical="center" wrapText="1"/>
      <protection locked="0"/>
    </xf>
    <xf numFmtId="0" fontId="16" fillId="12" borderId="52" xfId="0" applyFont="1" applyFill="1" applyBorder="1" applyAlignment="1">
      <alignment horizontal="left" vertical="center" wrapText="1"/>
    </xf>
    <xf numFmtId="0" fontId="1" fillId="39" borderId="28" xfId="19" applyFont="1" applyFill="1" applyBorder="1" applyAlignment="1" applyProtection="1">
      <alignment horizontal="center" vertical="center" wrapText="1"/>
      <protection locked="0"/>
    </xf>
    <xf numFmtId="0" fontId="36" fillId="39" borderId="58" xfId="19" applyFont="1" applyFill="1" applyBorder="1" applyAlignment="1" applyProtection="1">
      <alignment horizontal="center" vertical="center" wrapText="1"/>
      <protection locked="0"/>
    </xf>
    <xf numFmtId="0" fontId="16" fillId="12" borderId="61" xfId="0" applyFont="1" applyFill="1" applyBorder="1" applyAlignment="1">
      <alignment horizontal="left" vertical="center"/>
    </xf>
    <xf numFmtId="0" fontId="2" fillId="39" borderId="28" xfId="19" applyFont="1" applyFill="1" applyBorder="1" applyAlignment="1" applyProtection="1">
      <alignment horizontal="center" vertical="center" wrapText="1"/>
      <protection locked="0"/>
    </xf>
    <xf numFmtId="0" fontId="62" fillId="23" borderId="13" xfId="0" applyFont="1" applyFill="1" applyBorder="1" applyAlignment="1">
      <alignment horizontal="center" vertical="center" wrapText="1"/>
    </xf>
    <xf numFmtId="0" fontId="0" fillId="12" borderId="226" xfId="0" applyFill="1" applyBorder="1" applyAlignment="1">
      <alignment horizontal="left" vertical="center" wrapText="1"/>
    </xf>
    <xf numFmtId="0" fontId="0" fillId="12" borderId="216" xfId="0" applyFill="1" applyBorder="1" applyAlignment="1">
      <alignment horizontal="left" vertical="center" wrapText="1"/>
    </xf>
    <xf numFmtId="0" fontId="0" fillId="12" borderId="99" xfId="0" applyFill="1" applyBorder="1" applyAlignment="1">
      <alignment horizontal="left" vertical="center" wrapText="1"/>
    </xf>
    <xf numFmtId="0" fontId="0" fillId="12" borderId="222" xfId="0" applyFill="1" applyBorder="1" applyAlignment="1">
      <alignment horizontal="left" vertical="center" wrapText="1"/>
    </xf>
    <xf numFmtId="0" fontId="12" fillId="13" borderId="0" xfId="0" applyFont="1" applyFill="1" applyAlignment="1">
      <alignment horizontal="left" vertical="center"/>
    </xf>
    <xf numFmtId="0" fontId="0" fillId="12" borderId="222" xfId="0" applyFill="1" applyBorder="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24" fillId="2" borderId="201" xfId="0" applyFont="1" applyFill="1" applyBorder="1" applyAlignment="1">
      <alignment horizontal="left" vertical="center"/>
    </xf>
    <xf numFmtId="0" fontId="24" fillId="2" borderId="106" xfId="0" applyFont="1" applyFill="1" applyBorder="1" applyAlignment="1">
      <alignment horizontal="left" vertical="center"/>
    </xf>
    <xf numFmtId="0" fontId="24" fillId="2" borderId="72" xfId="0" applyFont="1" applyFill="1" applyBorder="1" applyAlignment="1">
      <alignment horizontal="left" vertical="center"/>
    </xf>
    <xf numFmtId="0" fontId="9" fillId="2" borderId="66" xfId="0" applyFont="1" applyFill="1" applyBorder="1" applyAlignment="1">
      <alignment horizontal="left" vertical="center" wrapText="1"/>
    </xf>
    <xf numFmtId="0" fontId="9" fillId="2" borderId="64"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0" fillId="2" borderId="91" xfId="0" applyFill="1" applyBorder="1" applyAlignment="1">
      <alignment horizontal="left" vertical="center" wrapText="1"/>
    </xf>
    <xf numFmtId="0" fontId="0" fillId="2" borderId="139" xfId="0" applyFill="1" applyBorder="1" applyAlignment="1">
      <alignment horizontal="left" vertical="center" wrapText="1"/>
    </xf>
    <xf numFmtId="0" fontId="0" fillId="2" borderId="222" xfId="0" applyFill="1" applyBorder="1" applyAlignment="1">
      <alignment horizontal="center" vertical="center"/>
    </xf>
    <xf numFmtId="0" fontId="0" fillId="2" borderId="66" xfId="0" applyFill="1" applyBorder="1" applyAlignment="1">
      <alignment horizontal="left" vertical="center" wrapText="1"/>
    </xf>
    <xf numFmtId="0" fontId="0" fillId="23" borderId="0" xfId="0" applyFill="1" applyAlignment="1">
      <alignment horizontal="left" vertical="center" wrapText="1"/>
    </xf>
    <xf numFmtId="0" fontId="9" fillId="23" borderId="0" xfId="0" applyFont="1" applyFill="1" applyAlignment="1">
      <alignment horizontal="left" vertical="center" wrapText="1"/>
    </xf>
    <xf numFmtId="180" fontId="9" fillId="13" borderId="132" xfId="0" applyNumberFormat="1" applyFont="1" applyFill="1" applyBorder="1" applyAlignment="1">
      <alignment horizontal="left" vertical="center" shrinkToFit="1"/>
    </xf>
    <xf numFmtId="180" fontId="9" fillId="13" borderId="133" xfId="0" applyNumberFormat="1" applyFont="1" applyFill="1" applyBorder="1" applyAlignment="1">
      <alignment horizontal="left" vertical="center" shrinkToFit="1"/>
    </xf>
    <xf numFmtId="180" fontId="9" fillId="13" borderId="126" xfId="0" applyNumberFormat="1" applyFont="1" applyFill="1" applyBorder="1" applyAlignment="1">
      <alignment horizontal="left" vertical="center" shrinkToFit="1"/>
    </xf>
    <xf numFmtId="0" fontId="0" fillId="12" borderId="223" xfId="0" applyFill="1" applyBorder="1" applyAlignment="1">
      <alignment horizontal="left" vertical="center" wrapText="1"/>
    </xf>
    <xf numFmtId="0" fontId="0" fillId="12" borderId="224" xfId="0" applyFill="1" applyBorder="1" applyAlignment="1">
      <alignment horizontal="left" vertical="center" wrapText="1"/>
    </xf>
    <xf numFmtId="0" fontId="0" fillId="12" borderId="225" xfId="0" applyFill="1" applyBorder="1" applyAlignment="1">
      <alignment horizontal="left" vertical="center" wrapText="1"/>
    </xf>
    <xf numFmtId="0" fontId="16" fillId="5" borderId="69" xfId="0" applyFont="1" applyFill="1" applyBorder="1" applyAlignment="1" applyProtection="1">
      <alignment horizontal="left" vertical="center" wrapText="1"/>
      <protection locked="0"/>
    </xf>
    <xf numFmtId="0" fontId="16" fillId="5" borderId="72" xfId="0" applyFont="1" applyFill="1" applyBorder="1" applyAlignment="1" applyProtection="1">
      <alignment horizontal="left" vertical="center" wrapText="1"/>
      <protection locked="0"/>
    </xf>
    <xf numFmtId="0" fontId="16" fillId="5" borderId="60" xfId="0" applyFont="1" applyFill="1" applyBorder="1" applyAlignment="1" applyProtection="1">
      <alignment horizontal="left" vertical="center" wrapText="1"/>
      <protection locked="0"/>
    </xf>
    <xf numFmtId="0" fontId="16" fillId="5" borderId="52" xfId="0" applyFont="1" applyFill="1" applyBorder="1" applyAlignment="1" applyProtection="1">
      <alignment horizontal="left" vertical="center" wrapText="1"/>
      <protection locked="0"/>
    </xf>
    <xf numFmtId="0" fontId="16" fillId="5" borderId="0" xfId="0" applyFont="1" applyFill="1" applyAlignment="1" applyProtection="1">
      <alignment horizontal="left" vertical="center" wrapText="1"/>
      <protection locked="0"/>
    </xf>
    <xf numFmtId="0" fontId="16" fillId="5" borderId="61" xfId="0" applyFont="1" applyFill="1" applyBorder="1" applyAlignment="1" applyProtection="1">
      <alignment horizontal="left" vertical="center" wrapText="1"/>
      <protection locked="0"/>
    </xf>
    <xf numFmtId="0" fontId="16" fillId="5" borderId="55"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wrapText="1"/>
      <protection locked="0"/>
    </xf>
    <xf numFmtId="0" fontId="16" fillId="5" borderId="59" xfId="0" applyFont="1" applyFill="1" applyBorder="1" applyAlignment="1" applyProtection="1">
      <alignment horizontal="left" vertical="center" wrapText="1"/>
      <protection locked="0"/>
    </xf>
    <xf numFmtId="0" fontId="0" fillId="12" borderId="133" xfId="0" applyFill="1" applyBorder="1" applyAlignment="1">
      <alignment horizontal="left" vertical="center"/>
    </xf>
    <xf numFmtId="0" fontId="0" fillId="12" borderId="0" xfId="0" applyFill="1" applyAlignment="1">
      <alignment horizontal="left" vertical="center"/>
    </xf>
    <xf numFmtId="0" fontId="24" fillId="2" borderId="201" xfId="0" applyFont="1" applyFill="1" applyBorder="1" applyAlignment="1">
      <alignment horizontal="left" vertical="center" wrapText="1"/>
    </xf>
    <xf numFmtId="0" fontId="24" fillId="12" borderId="106" xfId="0" applyFont="1" applyFill="1" applyBorder="1" applyAlignment="1">
      <alignment horizontal="left" vertical="center" wrapText="1"/>
    </xf>
    <xf numFmtId="0" fontId="0" fillId="12" borderId="133" xfId="0" applyFill="1" applyBorder="1" applyAlignment="1">
      <alignment horizontal="left" vertical="center" wrapText="1"/>
    </xf>
    <xf numFmtId="0" fontId="19" fillId="12" borderId="72" xfId="0" applyFont="1" applyFill="1" applyBorder="1" applyAlignment="1">
      <alignment horizontal="left" vertical="center" wrapText="1"/>
    </xf>
    <xf numFmtId="0" fontId="19" fillId="12" borderId="60" xfId="0" applyFont="1" applyFill="1" applyBorder="1" applyAlignment="1">
      <alignment horizontal="left" vertical="center" wrapText="1"/>
    </xf>
    <xf numFmtId="0" fontId="19" fillId="12" borderId="14" xfId="0" applyFont="1" applyFill="1" applyBorder="1" applyAlignment="1">
      <alignment horizontal="left" vertical="center" wrapText="1"/>
    </xf>
    <xf numFmtId="0" fontId="19" fillId="12" borderId="59" xfId="0" applyFont="1" applyFill="1" applyBorder="1" applyAlignment="1">
      <alignment horizontal="left" vertical="center" wrapText="1"/>
    </xf>
    <xf numFmtId="0" fontId="17" fillId="2" borderId="41" xfId="0" applyFont="1" applyFill="1" applyBorder="1" applyAlignment="1">
      <alignment horizontal="center" vertical="center" wrapText="1"/>
    </xf>
    <xf numFmtId="0" fontId="30" fillId="12" borderId="0" xfId="0" applyFont="1" applyFill="1">
      <alignment vertical="center"/>
    </xf>
    <xf numFmtId="0" fontId="17" fillId="2" borderId="132" xfId="0" applyFont="1" applyFill="1" applyBorder="1" applyAlignment="1">
      <alignment horizontal="center" vertical="center"/>
    </xf>
    <xf numFmtId="0" fontId="17" fillId="2" borderId="40"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7" fillId="12" borderId="0" xfId="0" applyFont="1" applyFill="1">
      <alignment vertical="center"/>
    </xf>
    <xf numFmtId="0" fontId="86" fillId="13" borderId="0" xfId="0" applyFont="1" applyFill="1" applyAlignment="1">
      <alignment horizontal="left" vertical="center" wrapText="1"/>
    </xf>
    <xf numFmtId="0" fontId="63" fillId="13" borderId="0" xfId="0" applyFont="1" applyFill="1" applyAlignment="1">
      <alignment horizontal="left" vertical="center" wrapText="1"/>
    </xf>
    <xf numFmtId="0" fontId="16" fillId="13" borderId="0" xfId="0" applyFont="1" applyFill="1" applyAlignment="1">
      <alignment horizontal="left" vertical="center"/>
    </xf>
    <xf numFmtId="0" fontId="16" fillId="2" borderId="32" xfId="0" applyFont="1" applyFill="1" applyBorder="1" applyAlignment="1">
      <alignment horizontal="center" vertical="center" wrapText="1"/>
    </xf>
    <xf numFmtId="0" fontId="16" fillId="2" borderId="123" xfId="0" applyFont="1" applyFill="1" applyBorder="1" applyAlignment="1">
      <alignment horizontal="center" vertical="center" wrapText="1"/>
    </xf>
    <xf numFmtId="0" fontId="16" fillId="2" borderId="13" xfId="0" applyFont="1" applyFill="1" applyBorder="1" applyAlignment="1">
      <alignment horizontal="center" vertical="center"/>
    </xf>
    <xf numFmtId="0" fontId="17" fillId="2" borderId="46" xfId="0" applyFont="1" applyFill="1" applyBorder="1" applyAlignment="1">
      <alignment horizontal="left" vertical="center" wrapText="1"/>
    </xf>
    <xf numFmtId="0" fontId="17" fillId="2" borderId="71" xfId="0" applyFont="1" applyFill="1" applyBorder="1" applyAlignment="1">
      <alignment horizontal="left" vertical="center" wrapText="1"/>
    </xf>
    <xf numFmtId="0" fontId="16" fillId="21" borderId="68" xfId="0" applyFont="1" applyFill="1" applyBorder="1" applyAlignment="1">
      <alignment horizontal="center" vertical="center"/>
    </xf>
    <xf numFmtId="0" fontId="16" fillId="21" borderId="92" xfId="0" applyFont="1" applyFill="1" applyBorder="1" applyAlignment="1">
      <alignment horizontal="center" vertical="center"/>
    </xf>
    <xf numFmtId="0" fontId="16" fillId="21" borderId="66" xfId="0" applyFont="1" applyFill="1" applyBorder="1" applyAlignment="1">
      <alignment horizontal="center" vertical="center"/>
    </xf>
    <xf numFmtId="0" fontId="16" fillId="19" borderId="101" xfId="0" applyFont="1" applyFill="1" applyBorder="1" applyAlignment="1" applyProtection="1">
      <alignment horizontal="center" vertical="center"/>
      <protection locked="0"/>
    </xf>
    <xf numFmtId="0" fontId="16" fillId="19" borderId="100" xfId="0" applyFont="1" applyFill="1" applyBorder="1" applyAlignment="1" applyProtection="1">
      <alignment horizontal="center" vertical="center"/>
      <protection locked="0"/>
    </xf>
    <xf numFmtId="0" fontId="16" fillId="12" borderId="13" xfId="0" applyFont="1" applyFill="1" applyBorder="1" applyAlignment="1" applyProtection="1">
      <alignment horizontal="center" vertical="center" shrinkToFit="1"/>
      <protection locked="0"/>
    </xf>
    <xf numFmtId="0" fontId="16" fillId="12" borderId="58" xfId="0" applyFont="1" applyFill="1" applyBorder="1" applyAlignment="1" applyProtection="1">
      <alignment horizontal="center" vertical="center" shrinkToFit="1"/>
      <protection locked="0"/>
    </xf>
    <xf numFmtId="0" fontId="16" fillId="2" borderId="132" xfId="0" applyFont="1" applyFill="1" applyBorder="1" applyAlignment="1">
      <alignment horizontal="left" vertical="center" shrinkToFit="1"/>
    </xf>
    <xf numFmtId="0" fontId="16" fillId="2" borderId="133" xfId="0" applyFont="1" applyFill="1" applyBorder="1" applyAlignment="1">
      <alignment horizontal="left" vertical="center" shrinkToFit="1"/>
    </xf>
    <xf numFmtId="0" fontId="16" fillId="2" borderId="130" xfId="0" applyFont="1" applyFill="1" applyBorder="1" applyAlignment="1">
      <alignment horizontal="left" vertical="center" shrinkToFit="1"/>
    </xf>
    <xf numFmtId="0" fontId="16" fillId="21" borderId="103" xfId="0" applyFont="1" applyFill="1" applyBorder="1" applyAlignment="1">
      <alignment horizontal="center" vertical="center"/>
    </xf>
    <xf numFmtId="0" fontId="16" fillId="21" borderId="102" xfId="0" applyFont="1" applyFill="1" applyBorder="1" applyAlignment="1">
      <alignment horizontal="center" vertical="center"/>
    </xf>
    <xf numFmtId="0" fontId="16" fillId="2" borderId="91" xfId="0" applyFont="1" applyFill="1" applyBorder="1" applyAlignment="1">
      <alignment horizontal="left" vertical="center"/>
    </xf>
    <xf numFmtId="0" fontId="16" fillId="2" borderId="139" xfId="0" applyFont="1" applyFill="1" applyBorder="1" applyAlignment="1">
      <alignment horizontal="left" vertical="center"/>
    </xf>
    <xf numFmtId="0" fontId="16" fillId="2" borderId="140" xfId="0" applyFont="1" applyFill="1" applyBorder="1" applyAlignment="1">
      <alignment horizontal="left" vertical="center"/>
    </xf>
    <xf numFmtId="180" fontId="16" fillId="13" borderId="132" xfId="0" applyNumberFormat="1" applyFont="1" applyFill="1" applyBorder="1" applyAlignment="1">
      <alignment horizontal="left" vertical="center" shrinkToFit="1"/>
    </xf>
    <xf numFmtId="180" fontId="16" fillId="13" borderId="133" xfId="0" applyNumberFormat="1" applyFont="1" applyFill="1" applyBorder="1" applyAlignment="1">
      <alignment horizontal="left" vertical="center" shrinkToFit="1"/>
    </xf>
    <xf numFmtId="180" fontId="16" fillId="13" borderId="126" xfId="0" applyNumberFormat="1" applyFont="1" applyFill="1" applyBorder="1" applyAlignment="1">
      <alignment horizontal="left" vertical="center" shrinkToFit="1"/>
    </xf>
    <xf numFmtId="0" fontId="8" fillId="4" borderId="77" xfId="0" applyFont="1" applyFill="1" applyBorder="1" applyAlignment="1">
      <alignment horizontal="center" vertical="center"/>
    </xf>
    <xf numFmtId="0" fontId="8" fillId="4" borderId="89" xfId="0" applyFont="1" applyFill="1" applyBorder="1" applyAlignment="1">
      <alignment horizontal="center" vertical="center"/>
    </xf>
    <xf numFmtId="0" fontId="8" fillId="4" borderId="78" xfId="0" applyFont="1" applyFill="1" applyBorder="1" applyAlignment="1">
      <alignment horizontal="center" vertical="center"/>
    </xf>
    <xf numFmtId="0" fontId="8" fillId="0" borderId="0" xfId="0" applyFont="1" applyAlignment="1">
      <alignment horizontal="right" vertical="center"/>
    </xf>
    <xf numFmtId="0" fontId="8" fillId="0" borderId="204" xfId="0" applyFont="1" applyBorder="1" applyAlignment="1">
      <alignment horizontal="right" vertical="center"/>
    </xf>
    <xf numFmtId="0" fontId="16" fillId="4" borderId="91" xfId="0" applyFont="1" applyFill="1" applyBorder="1" applyAlignment="1" applyProtection="1">
      <alignment horizontal="center" vertical="center" shrinkToFit="1"/>
      <protection locked="0"/>
    </xf>
    <xf numFmtId="0" fontId="16" fillId="12" borderId="139" xfId="0" applyFont="1" applyFill="1" applyBorder="1" applyAlignment="1" applyProtection="1">
      <alignment horizontal="center" vertical="center" shrinkToFit="1"/>
      <protection locked="0"/>
    </xf>
    <xf numFmtId="0" fontId="16" fillId="12" borderId="140" xfId="0" applyFont="1" applyFill="1" applyBorder="1" applyAlignment="1" applyProtection="1">
      <alignment horizontal="center" vertical="center" shrinkToFit="1"/>
      <protection locked="0"/>
    </xf>
    <xf numFmtId="0" fontId="0" fillId="0" borderId="211" xfId="0" applyBorder="1">
      <alignment vertical="center"/>
    </xf>
    <xf numFmtId="0" fontId="0" fillId="0" borderId="43" xfId="0" applyBorder="1">
      <alignment vertical="center"/>
    </xf>
    <xf numFmtId="0" fontId="16" fillId="2" borderId="130" xfId="0" applyFont="1" applyFill="1" applyBorder="1" applyAlignment="1">
      <alignment horizontal="left" vertical="center"/>
    </xf>
    <xf numFmtId="0" fontId="16" fillId="2" borderId="104" xfId="0" applyFont="1" applyFill="1" applyBorder="1" applyAlignment="1">
      <alignment horizontal="left" vertical="center"/>
    </xf>
    <xf numFmtId="0" fontId="0" fillId="21" borderId="131" xfId="0" applyFill="1" applyBorder="1" applyAlignment="1">
      <alignment horizontal="center" vertical="center" wrapText="1"/>
    </xf>
    <xf numFmtId="0" fontId="0" fillId="21" borderId="230" xfId="0" applyFill="1" applyBorder="1" applyAlignment="1">
      <alignment horizontal="center" vertical="center" wrapText="1"/>
    </xf>
    <xf numFmtId="0" fontId="16" fillId="0" borderId="132" xfId="0" applyFont="1" applyBorder="1" applyAlignment="1">
      <alignment horizontal="left" vertical="center"/>
    </xf>
    <xf numFmtId="0" fontId="16" fillId="0" borderId="133" xfId="0" applyFont="1" applyBorder="1" applyAlignment="1">
      <alignment horizontal="left" vertical="center"/>
    </xf>
    <xf numFmtId="0" fontId="16" fillId="0" borderId="130" xfId="0" applyFont="1" applyBorder="1" applyAlignment="1">
      <alignment horizontal="left" vertical="center"/>
    </xf>
    <xf numFmtId="0" fontId="16" fillId="39" borderId="28" xfId="0" applyFont="1" applyFill="1" applyBorder="1" applyAlignment="1" applyProtection="1">
      <alignment horizontal="center" vertical="center" shrinkToFit="1"/>
      <protection locked="0"/>
    </xf>
    <xf numFmtId="0" fontId="16" fillId="39" borderId="58" xfId="0" applyFont="1" applyFill="1" applyBorder="1" applyAlignment="1" applyProtection="1">
      <alignment horizontal="center" vertical="center" shrinkToFit="1"/>
      <protection locked="0"/>
    </xf>
    <xf numFmtId="0" fontId="16" fillId="2" borderId="211"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0" fillId="21" borderId="211" xfId="0" applyFill="1" applyBorder="1" applyAlignment="1">
      <alignment horizontal="center" vertical="center" wrapText="1"/>
    </xf>
    <xf numFmtId="0" fontId="0" fillId="21" borderId="43" xfId="0" applyFill="1" applyBorder="1" applyAlignment="1">
      <alignment horizontal="center" vertical="center" wrapText="1"/>
    </xf>
    <xf numFmtId="0" fontId="16" fillId="2" borderId="16"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3" borderId="0" xfId="0" applyFont="1" applyFill="1" applyAlignment="1">
      <alignment horizontal="left" vertical="center"/>
    </xf>
    <xf numFmtId="0" fontId="8" fillId="39" borderId="77" xfId="0" applyFont="1" applyFill="1" applyBorder="1" applyAlignment="1">
      <alignment horizontal="center" vertical="center" wrapText="1"/>
    </xf>
    <xf numFmtId="0" fontId="8" fillId="39" borderId="89" xfId="0" applyFont="1" applyFill="1" applyBorder="1" applyAlignment="1">
      <alignment horizontal="center" vertical="center" wrapText="1"/>
    </xf>
    <xf numFmtId="0" fontId="8" fillId="39" borderId="78" xfId="0" applyFont="1" applyFill="1" applyBorder="1" applyAlignment="1">
      <alignment horizontal="center" vertical="center" wrapText="1"/>
    </xf>
    <xf numFmtId="0" fontId="8" fillId="0" borderId="204" xfId="0" applyFont="1" applyBorder="1" applyAlignment="1">
      <alignment horizontal="right" vertical="center" wrapText="1"/>
    </xf>
    <xf numFmtId="180" fontId="16" fillId="12" borderId="132" xfId="0" applyNumberFormat="1" applyFont="1" applyFill="1" applyBorder="1" applyAlignment="1">
      <alignment horizontal="left" vertical="center" shrinkToFit="1"/>
    </xf>
    <xf numFmtId="180" fontId="16" fillId="12" borderId="133" xfId="0" applyNumberFormat="1" applyFont="1" applyFill="1" applyBorder="1" applyAlignment="1">
      <alignment horizontal="left" vertical="center" shrinkToFit="1"/>
    </xf>
    <xf numFmtId="180" fontId="16" fillId="12" borderId="126" xfId="0" applyNumberFormat="1" applyFont="1" applyFill="1" applyBorder="1" applyAlignment="1">
      <alignment horizontal="left" vertical="center" shrinkToFit="1"/>
    </xf>
    <xf numFmtId="0" fontId="16" fillId="21" borderId="6" xfId="0" applyFont="1" applyFill="1" applyBorder="1" applyAlignment="1">
      <alignment horizontal="left" vertical="center" wrapText="1"/>
    </xf>
    <xf numFmtId="0" fontId="16" fillId="21" borderId="4" xfId="0" applyFont="1" applyFill="1" applyBorder="1" applyAlignment="1">
      <alignment horizontal="left" vertical="center"/>
    </xf>
    <xf numFmtId="0" fontId="16" fillId="21" borderId="205" xfId="0" applyFont="1" applyFill="1" applyBorder="1" applyAlignment="1">
      <alignment horizontal="left" vertical="center"/>
    </xf>
    <xf numFmtId="0" fontId="16" fillId="21" borderId="132" xfId="0" applyFont="1" applyFill="1" applyBorder="1" applyAlignment="1">
      <alignment horizontal="left" vertical="center" wrapText="1"/>
    </xf>
    <xf numFmtId="0" fontId="16" fillId="21" borderId="133" xfId="0" applyFont="1" applyFill="1" applyBorder="1" applyAlignment="1">
      <alignment horizontal="left" vertical="center"/>
    </xf>
    <xf numFmtId="0" fontId="16" fillId="21" borderId="130" xfId="0" applyFont="1" applyFill="1" applyBorder="1" applyAlignment="1">
      <alignment horizontal="left" vertical="center"/>
    </xf>
    <xf numFmtId="0" fontId="41" fillId="21" borderId="4" xfId="0" applyFont="1" applyFill="1" applyBorder="1" applyAlignment="1">
      <alignment horizontal="left" vertical="center"/>
    </xf>
    <xf numFmtId="0" fontId="41" fillId="21" borderId="205" xfId="0" applyFont="1" applyFill="1" applyBorder="1" applyAlignment="1">
      <alignment horizontal="left" vertical="center"/>
    </xf>
    <xf numFmtId="0" fontId="16" fillId="21" borderId="4" xfId="0" applyFont="1" applyFill="1" applyBorder="1" applyAlignment="1">
      <alignment horizontal="left" vertical="center" wrapText="1"/>
    </xf>
    <xf numFmtId="0" fontId="16" fillId="21" borderId="205" xfId="0" applyFont="1" applyFill="1" applyBorder="1" applyAlignment="1">
      <alignment horizontal="left" vertical="center" wrapText="1"/>
    </xf>
    <xf numFmtId="0" fontId="0" fillId="0" borderId="132" xfId="0" applyBorder="1" applyAlignment="1">
      <alignment horizontal="center" vertical="center"/>
    </xf>
    <xf numFmtId="0" fontId="0" fillId="0" borderId="133" xfId="0" applyBorder="1" applyAlignment="1">
      <alignment horizontal="center" vertical="center"/>
    </xf>
    <xf numFmtId="0" fontId="0" fillId="0" borderId="126" xfId="0" applyBorder="1" applyAlignment="1">
      <alignment horizontal="center" vertical="center"/>
    </xf>
    <xf numFmtId="0" fontId="17" fillId="17" borderId="28" xfId="0" applyFont="1" applyFill="1" applyBorder="1" applyAlignment="1" applyProtection="1">
      <alignment horizontal="center" vertical="center" wrapText="1"/>
      <protection locked="0"/>
    </xf>
    <xf numFmtId="0" fontId="17" fillId="17" borderId="58" xfId="0" applyFont="1" applyFill="1" applyBorder="1" applyAlignment="1" applyProtection="1">
      <alignment horizontal="center" vertical="center" wrapText="1"/>
      <protection locked="0"/>
    </xf>
    <xf numFmtId="0" fontId="16" fillId="0" borderId="111" xfId="0" applyFont="1" applyBorder="1" applyAlignment="1">
      <alignment horizontal="center" vertical="center"/>
    </xf>
    <xf numFmtId="0" fontId="16" fillId="0" borderId="112" xfId="0" applyFont="1" applyBorder="1" applyAlignment="1">
      <alignment horizontal="center" vertical="center"/>
    </xf>
    <xf numFmtId="0" fontId="16" fillId="0" borderId="218" xfId="0" applyFont="1" applyBorder="1" applyAlignment="1">
      <alignment horizontal="center" vertical="center"/>
    </xf>
    <xf numFmtId="0" fontId="0" fillId="17" borderId="132" xfId="0" applyFill="1" applyBorder="1" applyAlignment="1" applyProtection="1">
      <alignment horizontal="center" vertical="center"/>
      <protection locked="0"/>
    </xf>
    <xf numFmtId="0" fontId="0" fillId="17" borderId="133" xfId="0" applyFill="1" applyBorder="1" applyAlignment="1" applyProtection="1">
      <alignment horizontal="center" vertical="center"/>
      <protection locked="0"/>
    </xf>
    <xf numFmtId="0" fontId="0" fillId="17" borderId="126" xfId="0" applyFill="1" applyBorder="1" applyAlignment="1" applyProtection="1">
      <alignment horizontal="center" vertical="center"/>
      <protection locked="0"/>
    </xf>
    <xf numFmtId="0" fontId="0" fillId="17" borderId="131" xfId="0" applyFill="1" applyBorder="1" applyAlignment="1" applyProtection="1">
      <alignment horizontal="center" vertical="center"/>
      <protection locked="0"/>
    </xf>
    <xf numFmtId="0" fontId="0" fillId="21" borderId="131" xfId="0" applyFill="1" applyBorder="1" applyAlignment="1">
      <alignment horizontal="center" vertical="center"/>
    </xf>
    <xf numFmtId="14" fontId="0" fillId="17" borderId="131" xfId="0" applyNumberFormat="1" applyFill="1" applyBorder="1" applyAlignment="1" applyProtection="1">
      <alignment horizontal="center" vertical="center"/>
      <protection locked="0"/>
    </xf>
    <xf numFmtId="0" fontId="0" fillId="0" borderId="132" xfId="0" applyBorder="1" applyAlignment="1">
      <alignment horizontal="center" vertical="center" wrapText="1"/>
    </xf>
    <xf numFmtId="0" fontId="0" fillId="0" borderId="131" xfId="0" applyBorder="1" applyAlignment="1">
      <alignment horizontal="center" vertical="center" wrapText="1"/>
    </xf>
    <xf numFmtId="0" fontId="0" fillId="0" borderId="131" xfId="0" applyBorder="1" applyAlignment="1">
      <alignment horizontal="center" vertical="center"/>
    </xf>
    <xf numFmtId="0" fontId="43" fillId="23" borderId="0" xfId="0" applyFont="1" applyFill="1" applyAlignment="1">
      <alignment horizontal="left" vertical="top" wrapText="1"/>
    </xf>
    <xf numFmtId="0" fontId="22" fillId="2" borderId="228" xfId="0" applyFont="1" applyFill="1" applyBorder="1" applyAlignment="1">
      <alignment horizontal="center" vertical="center"/>
    </xf>
    <xf numFmtId="0" fontId="22" fillId="2" borderId="229" xfId="0" applyFont="1" applyFill="1" applyBorder="1" applyAlignment="1">
      <alignment horizontal="center" vertical="center"/>
    </xf>
    <xf numFmtId="0" fontId="22" fillId="2" borderId="219" xfId="0" applyFont="1" applyFill="1" applyBorder="1" applyAlignment="1">
      <alignment horizontal="center" vertical="center"/>
    </xf>
    <xf numFmtId="0" fontId="22" fillId="2" borderId="21" xfId="0" applyFont="1" applyFill="1" applyBorder="1" applyAlignment="1">
      <alignment horizontal="center" vertical="center"/>
    </xf>
    <xf numFmtId="0" fontId="16" fillId="37" borderId="0" xfId="0" applyFont="1" applyFill="1" applyAlignment="1">
      <alignment vertical="center" wrapText="1"/>
    </xf>
    <xf numFmtId="0" fontId="0" fillId="0" borderId="43" xfId="0" applyBorder="1" applyAlignment="1">
      <alignment horizontal="center" vertical="center"/>
    </xf>
    <xf numFmtId="49" fontId="27" fillId="2" borderId="105" xfId="0" applyNumberFormat="1" applyFont="1" applyFill="1" applyBorder="1" applyAlignment="1">
      <alignment horizontal="center" vertical="center" wrapText="1"/>
    </xf>
    <xf numFmtId="49" fontId="27" fillId="2" borderId="82" xfId="0" applyNumberFormat="1" applyFont="1" applyFill="1" applyBorder="1" applyAlignment="1">
      <alignment horizontal="center" vertical="center" wrapText="1"/>
    </xf>
    <xf numFmtId="0" fontId="27" fillId="2" borderId="44" xfId="0" applyFont="1" applyFill="1" applyBorder="1" applyAlignment="1">
      <alignment horizontal="center" vertical="center"/>
    </xf>
    <xf numFmtId="0" fontId="27" fillId="2" borderId="47" xfId="0" applyFont="1" applyFill="1" applyBorder="1" applyAlignment="1">
      <alignment horizontal="center" vertical="center"/>
    </xf>
    <xf numFmtId="0" fontId="27" fillId="2" borderId="158" xfId="0" applyFont="1" applyFill="1" applyBorder="1" applyAlignment="1">
      <alignment horizontal="center" vertical="center" wrapText="1"/>
    </xf>
    <xf numFmtId="0" fontId="27" fillId="2" borderId="97" xfId="0" applyFont="1" applyFill="1" applyBorder="1" applyAlignment="1">
      <alignment horizontal="center" vertical="center" wrapText="1"/>
    </xf>
    <xf numFmtId="0" fontId="27" fillId="2" borderId="7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16" fillId="38" borderId="139" xfId="0" applyFont="1" applyFill="1" applyBorder="1" applyAlignment="1">
      <alignment horizontal="left" vertical="center" wrapText="1"/>
    </xf>
    <xf numFmtId="0" fontId="18" fillId="37" borderId="0" xfId="0" applyFont="1" applyFill="1" applyAlignment="1">
      <alignment horizontal="center" vertical="center" wrapText="1"/>
    </xf>
    <xf numFmtId="180" fontId="9" fillId="38" borderId="132" xfId="0" applyNumberFormat="1" applyFont="1" applyFill="1" applyBorder="1" applyAlignment="1">
      <alignment horizontal="left" vertical="center" shrinkToFit="1"/>
    </xf>
    <xf numFmtId="180" fontId="9" fillId="38" borderId="133" xfId="0" applyNumberFormat="1" applyFont="1" applyFill="1" applyBorder="1" applyAlignment="1">
      <alignment horizontal="left" vertical="center" shrinkToFit="1"/>
    </xf>
    <xf numFmtId="180" fontId="9" fillId="38" borderId="126" xfId="0" applyNumberFormat="1" applyFont="1" applyFill="1" applyBorder="1" applyAlignment="1">
      <alignment horizontal="left" vertical="center" shrinkToFit="1"/>
    </xf>
    <xf numFmtId="0" fontId="16" fillId="38" borderId="0" xfId="0" applyFont="1" applyFill="1" applyAlignment="1">
      <alignment vertical="center" wrapText="1"/>
    </xf>
    <xf numFmtId="0" fontId="0" fillId="49" borderId="52" xfId="0" applyFill="1" applyBorder="1" applyAlignment="1">
      <alignment horizontal="left" vertical="center" wrapText="1"/>
    </xf>
    <xf numFmtId="0" fontId="0" fillId="12" borderId="0" xfId="0" applyFill="1" applyAlignment="1">
      <alignment horizontal="left" wrapText="1"/>
    </xf>
    <xf numFmtId="0" fontId="17" fillId="5" borderId="1" xfId="0" applyFont="1" applyFill="1" applyBorder="1" applyAlignment="1" applyProtection="1">
      <alignment horizontal="center" vertical="center" wrapText="1"/>
      <protection locked="0"/>
    </xf>
    <xf numFmtId="0" fontId="28" fillId="8" borderId="139" xfId="0" applyFont="1" applyFill="1" applyBorder="1" applyAlignment="1">
      <alignment horizontal="left" vertical="center" wrapText="1"/>
    </xf>
    <xf numFmtId="0" fontId="17" fillId="5" borderId="28" xfId="0" applyFont="1" applyFill="1" applyBorder="1" applyAlignment="1" applyProtection="1">
      <alignment horizontal="center" vertical="center" wrapText="1"/>
      <protection locked="0"/>
    </xf>
    <xf numFmtId="0" fontId="17" fillId="5" borderId="13" xfId="0" applyFont="1" applyFill="1" applyBorder="1" applyAlignment="1" applyProtection="1">
      <alignment horizontal="center" vertical="center" wrapText="1"/>
      <protection locked="0"/>
    </xf>
    <xf numFmtId="0" fontId="17" fillId="5" borderId="58" xfId="0" applyFont="1" applyFill="1" applyBorder="1" applyAlignment="1" applyProtection="1">
      <alignment horizontal="center" vertical="center" wrapText="1"/>
      <protection locked="0"/>
    </xf>
    <xf numFmtId="0" fontId="17" fillId="9" borderId="67" xfId="0" applyFont="1" applyFill="1" applyBorder="1" applyAlignment="1">
      <alignment horizontal="center" vertical="center"/>
    </xf>
    <xf numFmtId="0" fontId="17" fillId="9" borderId="64" xfId="0" applyFont="1" applyFill="1" applyBorder="1" applyAlignment="1">
      <alignment horizontal="center" vertical="center"/>
    </xf>
    <xf numFmtId="0" fontId="17" fillId="9" borderId="68" xfId="0" applyFont="1" applyFill="1" applyBorder="1" applyAlignment="1">
      <alignment horizontal="center" vertical="center"/>
    </xf>
    <xf numFmtId="0" fontId="17" fillId="9" borderId="67" xfId="0" applyFont="1" applyFill="1" applyBorder="1" applyAlignment="1">
      <alignment horizontal="center" vertical="center" wrapText="1"/>
    </xf>
    <xf numFmtId="0" fontId="28" fillId="28" borderId="0" xfId="0" applyFont="1" applyFill="1" applyAlignment="1">
      <alignment horizontal="left" vertical="center" wrapText="1"/>
    </xf>
    <xf numFmtId="0" fontId="16" fillId="8" borderId="0" xfId="0" applyFont="1" applyFill="1" applyAlignment="1">
      <alignment vertical="center" wrapText="1"/>
    </xf>
    <xf numFmtId="0" fontId="16" fillId="8" borderId="0" xfId="0" applyFont="1" applyFill="1" applyAlignment="1">
      <alignment horizontal="left" vertical="center" wrapText="1"/>
    </xf>
    <xf numFmtId="0" fontId="18" fillId="8" borderId="0" xfId="0" applyFont="1" applyFill="1" applyAlignment="1">
      <alignment horizontal="center" vertical="center" wrapText="1"/>
    </xf>
    <xf numFmtId="180" fontId="9" fillId="8" borderId="132" xfId="0" applyNumberFormat="1" applyFont="1" applyFill="1" applyBorder="1" applyAlignment="1">
      <alignment horizontal="left" vertical="center" shrinkToFit="1"/>
    </xf>
    <xf numFmtId="180" fontId="9" fillId="8" borderId="133" xfId="0" applyNumberFormat="1" applyFont="1" applyFill="1" applyBorder="1" applyAlignment="1">
      <alignment horizontal="left" vertical="center" shrinkToFit="1"/>
    </xf>
    <xf numFmtId="180" fontId="9" fillId="8" borderId="126" xfId="0" applyNumberFormat="1" applyFont="1" applyFill="1" applyBorder="1" applyAlignment="1">
      <alignment horizontal="left" vertical="center" shrinkToFit="1"/>
    </xf>
    <xf numFmtId="0" fontId="28" fillId="28" borderId="139" xfId="0" applyFont="1" applyFill="1" applyBorder="1" applyAlignment="1">
      <alignment horizontal="left" vertical="center" wrapText="1"/>
    </xf>
    <xf numFmtId="0" fontId="17" fillId="30" borderId="51" xfId="0" applyFont="1" applyFill="1" applyBorder="1" applyAlignment="1">
      <alignment horizontal="center" vertical="center" wrapText="1"/>
    </xf>
    <xf numFmtId="0" fontId="17" fillId="30" borderId="227" xfId="0" applyFont="1" applyFill="1" applyBorder="1" applyAlignment="1">
      <alignment horizontal="center" vertical="center" wrapText="1"/>
    </xf>
    <xf numFmtId="0" fontId="17" fillId="30" borderId="229" xfId="0" applyFont="1" applyFill="1" applyBorder="1" applyAlignment="1">
      <alignment horizontal="center" vertical="center" wrapText="1"/>
    </xf>
    <xf numFmtId="0" fontId="16" fillId="34" borderId="194" xfId="0" applyFont="1" applyFill="1" applyBorder="1" applyAlignment="1">
      <alignment horizontal="center" vertical="center" wrapText="1"/>
    </xf>
    <xf numFmtId="0" fontId="16" fillId="34" borderId="108" xfId="0" applyFont="1" applyFill="1" applyBorder="1" applyAlignment="1">
      <alignment horizontal="center" vertical="center" wrapText="1"/>
    </xf>
    <xf numFmtId="0" fontId="16" fillId="34" borderId="107" xfId="0" applyFont="1" applyFill="1" applyBorder="1" applyAlignment="1">
      <alignment horizontal="center" vertical="center" wrapText="1"/>
    </xf>
    <xf numFmtId="0" fontId="16" fillId="33" borderId="61" xfId="0" applyFont="1" applyFill="1" applyBorder="1" applyAlignment="1" applyProtection="1">
      <alignment horizontal="center" vertical="center" wrapText="1"/>
      <protection locked="0"/>
    </xf>
    <xf numFmtId="0" fontId="16" fillId="33" borderId="95" xfId="0" applyFont="1" applyFill="1" applyBorder="1" applyAlignment="1" applyProtection="1">
      <alignment horizontal="center" vertical="center" wrapText="1"/>
      <protection locked="0"/>
    </xf>
    <xf numFmtId="0" fontId="16" fillId="33" borderId="54" xfId="0" applyFont="1" applyFill="1" applyBorder="1" applyAlignment="1" applyProtection="1">
      <alignment horizontal="center" vertical="center" wrapText="1"/>
      <protection locked="0"/>
    </xf>
    <xf numFmtId="0" fontId="16" fillId="33" borderId="194" xfId="0" applyFont="1" applyFill="1" applyBorder="1" applyAlignment="1" applyProtection="1">
      <alignment horizontal="center" vertical="center" wrapText="1"/>
      <protection locked="0"/>
    </xf>
    <xf numFmtId="0" fontId="16" fillId="33" borderId="108" xfId="0" applyFont="1" applyFill="1" applyBorder="1" applyAlignment="1" applyProtection="1">
      <alignment horizontal="center" vertical="center" wrapText="1"/>
      <protection locked="0"/>
    </xf>
    <xf numFmtId="0" fontId="16" fillId="33" borderId="107" xfId="0" applyFont="1" applyFill="1" applyBorder="1" applyAlignment="1" applyProtection="1">
      <alignment horizontal="center" vertical="center" wrapText="1"/>
      <protection locked="0"/>
    </xf>
    <xf numFmtId="0" fontId="16" fillId="0" borderId="0" xfId="0" applyFont="1" applyAlignment="1">
      <alignment horizontal="left" vertical="center" wrapText="1"/>
    </xf>
    <xf numFmtId="0" fontId="16" fillId="17" borderId="28" xfId="0" applyFont="1" applyFill="1" applyBorder="1" applyAlignment="1" applyProtection="1">
      <alignment horizontal="left" vertical="center"/>
      <protection locked="0"/>
    </xf>
    <xf numFmtId="0" fontId="16" fillId="10" borderId="13" xfId="0" applyFont="1" applyFill="1" applyBorder="1" applyAlignment="1" applyProtection="1">
      <alignment horizontal="left" vertical="center"/>
      <protection locked="0"/>
    </xf>
    <xf numFmtId="0" fontId="16" fillId="17" borderId="58" xfId="0" applyFont="1" applyFill="1" applyBorder="1" applyAlignment="1" applyProtection="1">
      <alignment horizontal="left" vertical="center"/>
      <protection locked="0"/>
    </xf>
    <xf numFmtId="0" fontId="16" fillId="17" borderId="59" xfId="0" applyFont="1" applyFill="1" applyBorder="1" applyAlignment="1" applyProtection="1">
      <alignment horizontal="left" vertical="center"/>
      <protection locked="0"/>
    </xf>
    <xf numFmtId="0" fontId="16" fillId="10" borderId="28" xfId="0" applyFont="1" applyFill="1" applyBorder="1" applyAlignment="1" applyProtection="1">
      <alignment horizontal="center" vertical="center"/>
      <protection locked="0"/>
    </xf>
    <xf numFmtId="0" fontId="16" fillId="10" borderId="13" xfId="0" applyFont="1" applyFill="1" applyBorder="1" applyAlignment="1" applyProtection="1">
      <alignment horizontal="center" vertical="center"/>
      <protection locked="0"/>
    </xf>
    <xf numFmtId="0" fontId="16" fillId="10" borderId="58" xfId="0" applyFont="1" applyFill="1" applyBorder="1" applyAlignment="1" applyProtection="1">
      <alignment horizontal="center" vertical="center"/>
      <protection locked="0"/>
    </xf>
    <xf numFmtId="0" fontId="8" fillId="8" borderId="0" xfId="0" applyFont="1" applyFill="1" applyAlignment="1">
      <alignment horizontal="right" vertical="center" wrapText="1"/>
    </xf>
    <xf numFmtId="0" fontId="8" fillId="8" borderId="65" xfId="0" applyFont="1" applyFill="1" applyBorder="1" applyAlignment="1">
      <alignment horizontal="right" vertical="center" wrapText="1"/>
    </xf>
    <xf numFmtId="180" fontId="9" fillId="0" borderId="132" xfId="0" applyNumberFormat="1" applyFont="1" applyBorder="1" applyAlignment="1">
      <alignment horizontal="left" vertical="center" shrinkToFit="1"/>
    </xf>
    <xf numFmtId="180" fontId="9" fillId="0" borderId="133" xfId="0" applyNumberFormat="1" applyFont="1" applyBorder="1" applyAlignment="1">
      <alignment horizontal="left" vertical="center" shrinkToFit="1"/>
    </xf>
    <xf numFmtId="180" fontId="9" fillId="0" borderId="126" xfId="0" applyNumberFormat="1" applyFont="1" applyBorder="1" applyAlignment="1">
      <alignment horizontal="left" vertical="center" shrinkToFit="1"/>
    </xf>
    <xf numFmtId="0" fontId="16" fillId="17" borderId="118" xfId="0" applyFont="1" applyFill="1" applyBorder="1" applyAlignment="1" applyProtection="1">
      <alignment vertical="top" wrapText="1"/>
      <protection locked="0"/>
    </xf>
    <xf numFmtId="0" fontId="16" fillId="17" borderId="90" xfId="0" applyFont="1" applyFill="1" applyBorder="1" applyAlignment="1" applyProtection="1">
      <alignment vertical="top" wrapText="1"/>
      <protection locked="0"/>
    </xf>
    <xf numFmtId="0" fontId="16" fillId="17" borderId="119" xfId="0" applyFont="1" applyFill="1" applyBorder="1" applyAlignment="1" applyProtection="1">
      <alignment vertical="top" wrapText="1"/>
      <protection locked="0"/>
    </xf>
    <xf numFmtId="0" fontId="16" fillId="17" borderId="79" xfId="0" applyFont="1" applyFill="1" applyBorder="1" applyAlignment="1" applyProtection="1">
      <alignment vertical="top" wrapText="1"/>
      <protection locked="0"/>
    </xf>
    <xf numFmtId="0" fontId="16" fillId="17" borderId="0" xfId="0" applyFont="1" applyFill="1" applyAlignment="1" applyProtection="1">
      <alignment vertical="top" wrapText="1"/>
      <protection locked="0"/>
    </xf>
    <xf numFmtId="0" fontId="16" fillId="17" borderId="98" xfId="0" applyFont="1" applyFill="1" applyBorder="1" applyAlignment="1" applyProtection="1">
      <alignment vertical="top" wrapText="1"/>
      <protection locked="0"/>
    </xf>
    <xf numFmtId="0" fontId="16" fillId="17" borderId="120" xfId="0" applyFont="1" applyFill="1" applyBorder="1" applyAlignment="1" applyProtection="1">
      <alignment vertical="top" wrapText="1"/>
      <protection locked="0"/>
    </xf>
    <xf numFmtId="0" fontId="16" fillId="17" borderId="36" xfId="0" applyFont="1" applyFill="1" applyBorder="1" applyAlignment="1" applyProtection="1">
      <alignment vertical="top" wrapText="1"/>
      <protection locked="0"/>
    </xf>
    <xf numFmtId="0" fontId="16" fillId="17" borderId="121" xfId="0" applyFont="1" applyFill="1" applyBorder="1" applyAlignment="1" applyProtection="1">
      <alignment vertical="top" wrapText="1"/>
      <protection locked="0"/>
    </xf>
    <xf numFmtId="0" fontId="16" fillId="23" borderId="1" xfId="0" applyFont="1" applyFill="1" applyBorder="1" applyAlignment="1">
      <alignment horizontal="left" vertical="center" wrapText="1"/>
    </xf>
    <xf numFmtId="0" fontId="16" fillId="2" borderId="158" xfId="0" applyFont="1" applyFill="1" applyBorder="1" applyAlignment="1">
      <alignment horizontal="center" vertical="center"/>
    </xf>
    <xf numFmtId="0" fontId="16" fillId="2" borderId="50" xfId="0" applyFont="1" applyFill="1" applyBorder="1" applyAlignment="1">
      <alignment horizontal="center" vertical="center"/>
    </xf>
    <xf numFmtId="0" fontId="41" fillId="12" borderId="0" xfId="0" applyFont="1" applyFill="1" applyAlignment="1">
      <alignment horizontal="left" vertical="center"/>
    </xf>
    <xf numFmtId="0" fontId="16" fillId="12" borderId="0" xfId="0" applyFont="1" applyFill="1">
      <alignment vertical="center"/>
    </xf>
    <xf numFmtId="0" fontId="17"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33" borderId="109" xfId="0" applyFill="1" applyBorder="1" applyAlignment="1" applyProtection="1">
      <alignment horizontal="left" vertical="center" wrapText="1"/>
      <protection locked="0"/>
    </xf>
    <xf numFmtId="0" fontId="0" fillId="33" borderId="95" xfId="0" applyFill="1" applyBorder="1" applyAlignment="1" applyProtection="1">
      <alignment horizontal="left" vertical="center" wrapText="1"/>
      <protection locked="0"/>
    </xf>
    <xf numFmtId="0" fontId="0" fillId="33" borderId="54" xfId="0" applyFill="1" applyBorder="1" applyAlignment="1" applyProtection="1">
      <alignment horizontal="left" vertical="center" wrapText="1"/>
      <protection locked="0"/>
    </xf>
    <xf numFmtId="0" fontId="98" fillId="0" borderId="0" xfId="0" applyFont="1" applyAlignment="1">
      <alignment horizontal="center" vertical="center" wrapText="1"/>
    </xf>
    <xf numFmtId="0" fontId="71" fillId="0" borderId="0" xfId="0" applyFont="1" applyAlignment="1">
      <alignment horizontal="right" vertical="center"/>
    </xf>
    <xf numFmtId="0" fontId="0" fillId="0" borderId="0" xfId="0" applyAlignment="1">
      <alignment horizontal="left" vertical="center"/>
    </xf>
    <xf numFmtId="0" fontId="8" fillId="0" borderId="0" xfId="0" applyFont="1" applyAlignment="1">
      <alignment horizontal="left" vertical="center"/>
    </xf>
    <xf numFmtId="0" fontId="0" fillId="30" borderId="132" xfId="0" applyFill="1" applyBorder="1" applyAlignment="1">
      <alignment horizontal="center" vertical="center" wrapText="1"/>
    </xf>
    <xf numFmtId="0" fontId="0" fillId="30" borderId="133" xfId="0" applyFill="1" applyBorder="1" applyAlignment="1">
      <alignment horizontal="center" vertical="center" wrapText="1"/>
    </xf>
    <xf numFmtId="0" fontId="0" fillId="30" borderId="126" xfId="0" applyFill="1" applyBorder="1" applyAlignment="1">
      <alignment horizontal="center" vertical="center" wrapText="1"/>
    </xf>
    <xf numFmtId="0" fontId="0" fillId="34" borderId="194" xfId="0" applyFill="1" applyBorder="1" applyAlignment="1">
      <alignment horizontal="left" vertical="center" wrapText="1"/>
    </xf>
    <xf numFmtId="0" fontId="0" fillId="34" borderId="108" xfId="0" applyFill="1" applyBorder="1" applyAlignment="1">
      <alignment horizontal="left" vertical="center" wrapText="1"/>
    </xf>
    <xf numFmtId="0" fontId="0" fillId="34" borderId="107" xfId="0" applyFill="1" applyBorder="1" applyAlignment="1">
      <alignment horizontal="left" vertical="center" wrapText="1"/>
    </xf>
    <xf numFmtId="0" fontId="0" fillId="33" borderId="130" xfId="0" applyFill="1" applyBorder="1" applyAlignment="1" applyProtection="1">
      <alignment horizontal="left" vertical="center" wrapText="1"/>
      <protection locked="0"/>
    </xf>
    <xf numFmtId="0" fontId="0" fillId="33" borderId="108" xfId="0" applyFill="1" applyBorder="1" applyAlignment="1" applyProtection="1">
      <alignment horizontal="left" vertical="center" wrapText="1"/>
      <protection locked="0"/>
    </xf>
    <xf numFmtId="0" fontId="0" fillId="33" borderId="107" xfId="0" applyFill="1" applyBorder="1" applyAlignment="1" applyProtection="1">
      <alignment horizontal="left" vertical="center" wrapText="1"/>
      <protection locked="0"/>
    </xf>
    <xf numFmtId="0" fontId="0" fillId="21" borderId="131" xfId="0" applyFill="1" applyBorder="1" applyAlignment="1">
      <alignment horizontal="left" vertical="center" wrapText="1"/>
    </xf>
    <xf numFmtId="0" fontId="0" fillId="4" borderId="131" xfId="0" applyFill="1" applyBorder="1" applyAlignment="1" applyProtection="1">
      <alignment horizontal="center" vertical="center"/>
      <protection locked="0"/>
    </xf>
    <xf numFmtId="0" fontId="0" fillId="33" borderId="194" xfId="0" applyFill="1" applyBorder="1" applyAlignment="1" applyProtection="1">
      <alignment horizontal="left" vertical="center" wrapText="1"/>
      <protection locked="0"/>
    </xf>
    <xf numFmtId="0" fontId="0" fillId="4" borderId="132" xfId="0" applyFill="1" applyBorder="1" applyAlignment="1" applyProtection="1">
      <alignment horizontal="center" vertical="center"/>
      <protection locked="0"/>
    </xf>
    <xf numFmtId="0" fontId="0" fillId="4" borderId="126" xfId="0" applyFill="1" applyBorder="1" applyAlignment="1" applyProtection="1">
      <alignment horizontal="center" vertical="center"/>
      <protection locked="0"/>
    </xf>
    <xf numFmtId="0" fontId="0" fillId="5" borderId="235" xfId="0" applyFill="1" applyBorder="1" applyAlignment="1" applyProtection="1">
      <alignment horizontal="left" vertical="top" wrapText="1"/>
      <protection locked="0"/>
    </xf>
    <xf numFmtId="0" fontId="0" fillId="5" borderId="234" xfId="0" applyFill="1" applyBorder="1" applyAlignment="1" applyProtection="1">
      <alignment horizontal="left" vertical="top" wrapText="1"/>
      <protection locked="0"/>
    </xf>
    <xf numFmtId="0" fontId="0" fillId="5" borderId="236" xfId="0" applyFill="1" applyBorder="1" applyAlignment="1" applyProtection="1">
      <alignment horizontal="left" vertical="top" wrapText="1"/>
      <protection locked="0"/>
    </xf>
    <xf numFmtId="0" fontId="0" fillId="5" borderId="219"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91" xfId="0" applyFill="1" applyBorder="1" applyAlignment="1" applyProtection="1">
      <alignment horizontal="left" vertical="top" wrapText="1"/>
      <protection locked="0"/>
    </xf>
    <xf numFmtId="0" fontId="0" fillId="5" borderId="139" xfId="0" applyFill="1" applyBorder="1" applyAlignment="1" applyProtection="1">
      <alignment horizontal="left" vertical="top" wrapText="1"/>
      <protection locked="0"/>
    </xf>
    <xf numFmtId="0" fontId="0" fillId="5" borderId="140" xfId="0" applyFill="1" applyBorder="1" applyAlignment="1" applyProtection="1">
      <alignment horizontal="left" vertical="top" wrapText="1"/>
      <protection locked="0"/>
    </xf>
    <xf numFmtId="0" fontId="0" fillId="21" borderId="230" xfId="0" applyFill="1" applyBorder="1" applyAlignment="1">
      <alignment horizontal="left" vertical="center" wrapText="1"/>
    </xf>
    <xf numFmtId="0" fontId="0" fillId="21" borderId="132" xfId="0" applyFill="1" applyBorder="1" applyAlignment="1">
      <alignment horizontal="left" vertical="center" wrapText="1"/>
    </xf>
    <xf numFmtId="0" fontId="0" fillId="21" borderId="133" xfId="0" applyFill="1" applyBorder="1" applyAlignment="1">
      <alignment horizontal="left" vertical="center" wrapText="1"/>
    </xf>
    <xf numFmtId="0" fontId="0" fillId="21" borderId="126" xfId="0" applyFill="1" applyBorder="1" applyAlignment="1">
      <alignment horizontal="left" vertical="center" wrapText="1"/>
    </xf>
    <xf numFmtId="0" fontId="0" fillId="21" borderId="228" xfId="0" applyFill="1" applyBorder="1" applyAlignment="1">
      <alignment horizontal="left" vertical="center" wrapText="1"/>
    </xf>
    <xf numFmtId="0" fontId="0" fillId="21" borderId="227" xfId="0" applyFill="1" applyBorder="1" applyAlignment="1">
      <alignment horizontal="left" vertical="center" wrapText="1"/>
    </xf>
    <xf numFmtId="0" fontId="0" fillId="21" borderId="229" xfId="0" applyFill="1" applyBorder="1" applyAlignment="1">
      <alignment horizontal="left" vertical="center" wrapText="1"/>
    </xf>
  </cellXfs>
  <cellStyles count="55">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11AA6BDF-5DC7-48E9-A955-37EF6B1CDE22}"/>
    <cellStyle name="標準 6 2 2" xfId="35" xr:uid="{866F2227-F39C-4CC1-8091-1B0F693CB74E}"/>
    <cellStyle name="標準 6 2 2 2" xfId="51" xr:uid="{00000000-0005-0000-0000-000019000000}"/>
    <cellStyle name="標準 6 2 3" xfId="43" xr:uid="{00000000-0005-0000-0000-000018000000}"/>
    <cellStyle name="標準 6 3" xfId="25" xr:uid="{98FE36CD-509F-4993-981F-B2A74623BE87}"/>
    <cellStyle name="標準 6 3 2" xfId="33" xr:uid="{63CFBEEA-68C2-48F8-8F4F-FD7CC1EDB8F1}"/>
    <cellStyle name="標準 6 3 2 2" xfId="49" xr:uid="{00000000-0005-0000-0000-00001B000000}"/>
    <cellStyle name="標準 6 3 3" xfId="41" xr:uid="{00000000-0005-0000-0000-00001A000000}"/>
    <cellStyle name="標準 6 4" xfId="29" xr:uid="{43E30C15-2E63-450F-A788-1637D6EC09D1}"/>
    <cellStyle name="標準 6 4 2" xfId="37" xr:uid="{CDA79110-C8C0-41A5-9EF3-0DA4B4BBD475}"/>
    <cellStyle name="標準 6 4 2 2" xfId="53" xr:uid="{00000000-0005-0000-0000-00001D000000}"/>
    <cellStyle name="標準 6 4 3" xfId="45" xr:uid="{00000000-0005-0000-0000-00001C000000}"/>
    <cellStyle name="標準 6 5" xfId="31" xr:uid="{7307DA84-1C18-4E59-838A-EBA6293F0D27}"/>
    <cellStyle name="標準 6 5 2" xfId="47" xr:uid="{00000000-0005-0000-0000-00001E000000}"/>
    <cellStyle name="標準 6 6" xfId="39" xr:uid="{00000000-0005-0000-0000-000017000000}"/>
    <cellStyle name="標準 7" xfId="23" xr:uid="{00000000-0005-0000-0000-000018000000}"/>
    <cellStyle name="標準 7 2" xfId="28" xr:uid="{EC276F77-C095-43BC-8701-2188A5CD5782}"/>
    <cellStyle name="標準 7 2 2" xfId="36" xr:uid="{E3E271BC-1B3B-4AF2-A635-2D26775F386C}"/>
    <cellStyle name="標準 7 2 2 2" xfId="52" xr:uid="{00000000-0005-0000-0000-000021000000}"/>
    <cellStyle name="標準 7 2 3" xfId="44" xr:uid="{00000000-0005-0000-0000-000020000000}"/>
    <cellStyle name="標準 7 3" xfId="26" xr:uid="{343B42A3-B45C-44CE-A3A5-E84CAB2BE84B}"/>
    <cellStyle name="標準 7 3 2" xfId="34" xr:uid="{A0C9F23D-1052-4F49-990F-BB74E5948DF1}"/>
    <cellStyle name="標準 7 3 2 2" xfId="50" xr:uid="{00000000-0005-0000-0000-000023000000}"/>
    <cellStyle name="標準 7 3 3" xfId="42" xr:uid="{00000000-0005-0000-0000-000022000000}"/>
    <cellStyle name="標準 7 4" xfId="30" xr:uid="{E636F662-257A-4A7C-836E-07FF141BF74B}"/>
    <cellStyle name="標準 7 4 2" xfId="38" xr:uid="{005FFD1C-10AB-4B92-8BD5-2A8E7FFB02C4}"/>
    <cellStyle name="標準 7 4 2 2" xfId="54" xr:uid="{00000000-0005-0000-0000-000025000000}"/>
    <cellStyle name="標準 7 4 3" xfId="46" xr:uid="{00000000-0005-0000-0000-000024000000}"/>
    <cellStyle name="標準 7 5" xfId="32" xr:uid="{F412F9EA-CC22-41A7-A2E0-5D929E7EA69B}"/>
    <cellStyle name="標準 7 5 2" xfId="48" xr:uid="{00000000-0005-0000-0000-000026000000}"/>
    <cellStyle name="標準 7 6" xfId="40" xr:uid="{00000000-0005-0000-0000-00001F000000}"/>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FFFFCC"/>
      <color rgb="FFCCFFCC"/>
      <color rgb="FFFF99FF"/>
      <color rgb="FFFF66FF"/>
      <color rgb="FF6600CC"/>
      <color rgb="FFCCFFFF"/>
      <color rgb="FFFF99CC"/>
      <color rgb="FFCCFF33"/>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3</xdr:row>
      <xdr:rowOff>104775</xdr:rowOff>
    </xdr:from>
    <xdr:to>
      <xdr:col>2</xdr:col>
      <xdr:colOff>466725</xdr:colOff>
      <xdr:row>4</xdr:row>
      <xdr:rowOff>171450</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85725" y="723900"/>
          <a:ext cx="1847850"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Normal="100" zoomScaleSheetLayoutView="100" workbookViewId="0">
      <selection activeCell="B6" sqref="B6"/>
    </sheetView>
  </sheetViews>
  <sheetFormatPr defaultColWidth="9" defaultRowHeight="13.5"/>
  <cols>
    <col min="1" max="1" width="20.625" style="59" bestFit="1" customWidth="1"/>
    <col min="2" max="2" width="25.75" style="59" bestFit="1" customWidth="1"/>
    <col min="3" max="3" width="10.875" style="59" bestFit="1" customWidth="1"/>
    <col min="4" max="5" width="23.625" style="59" customWidth="1"/>
    <col min="6" max="6" width="15.125" style="59" bestFit="1" customWidth="1"/>
    <col min="7" max="7" width="9" style="59"/>
    <col min="8" max="9" width="9.25" style="59" bestFit="1" customWidth="1"/>
    <col min="10" max="78" width="8.125" style="59" customWidth="1"/>
    <col min="79" max="82" width="15.125" style="59" customWidth="1"/>
    <col min="83" max="16384" width="9" style="59"/>
  </cols>
  <sheetData>
    <row r="1" spans="1:140">
      <c r="A1" s="59" t="s">
        <v>0</v>
      </c>
    </row>
    <row r="3" spans="1:140">
      <c r="A3" s="59" t="s">
        <v>1</v>
      </c>
      <c r="B3" s="66" t="s">
        <v>2</v>
      </c>
    </row>
    <row r="4" spans="1:140">
      <c r="A4" s="59" t="s">
        <v>3</v>
      </c>
      <c r="B4" s="66" t="s">
        <v>4</v>
      </c>
    </row>
    <row r="5" spans="1:140">
      <c r="P5" s="59" t="s">
        <v>5</v>
      </c>
      <c r="W5" s="1151" t="s">
        <v>6</v>
      </c>
      <c r="X5" s="1152"/>
      <c r="Y5" s="1152"/>
      <c r="Z5" s="1152"/>
      <c r="AA5" s="1152"/>
      <c r="AB5" s="1152"/>
      <c r="AC5" s="1153"/>
      <c r="CA5" s="59" t="s">
        <v>7</v>
      </c>
      <c r="CE5" s="59" t="s">
        <v>8</v>
      </c>
      <c r="CI5" s="59" t="s">
        <v>9</v>
      </c>
      <c r="CM5" s="59" t="s">
        <v>10</v>
      </c>
      <c r="CQ5" s="59" t="s">
        <v>11</v>
      </c>
      <c r="CU5" s="59" t="s">
        <v>12</v>
      </c>
      <c r="CY5" s="59" t="s">
        <v>13</v>
      </c>
      <c r="DC5" s="59" t="s">
        <v>14</v>
      </c>
      <c r="DG5" s="59" t="s">
        <v>15</v>
      </c>
      <c r="DK5" s="59" t="s">
        <v>16</v>
      </c>
      <c r="DO5" s="59" t="s">
        <v>17</v>
      </c>
      <c r="DS5" s="59" t="s">
        <v>18</v>
      </c>
      <c r="DW5" s="59" t="s">
        <v>19</v>
      </c>
      <c r="EA5" s="59" t="s">
        <v>20</v>
      </c>
    </row>
    <row r="6" spans="1:140" ht="409.5">
      <c r="A6" s="67" t="s">
        <v>21</v>
      </c>
      <c r="B6" s="68" t="s">
        <v>22</v>
      </c>
      <c r="C6" s="68" t="s">
        <v>23</v>
      </c>
      <c r="D6" s="68" t="s">
        <v>24</v>
      </c>
      <c r="E6" s="68" t="s">
        <v>25</v>
      </c>
      <c r="F6" s="68" t="s">
        <v>26</v>
      </c>
      <c r="G6" s="68" t="s">
        <v>27</v>
      </c>
      <c r="H6" s="68" t="s">
        <v>28</v>
      </c>
      <c r="I6" s="68" t="s">
        <v>29</v>
      </c>
      <c r="J6" s="68" t="s">
        <v>30</v>
      </c>
      <c r="K6" s="68" t="s">
        <v>31</v>
      </c>
      <c r="L6" s="68" t="s">
        <v>32</v>
      </c>
      <c r="M6" s="68" t="s">
        <v>33</v>
      </c>
      <c r="N6" s="68" t="s">
        <v>34</v>
      </c>
      <c r="O6" s="68" t="s">
        <v>35</v>
      </c>
      <c r="P6" s="106" t="s">
        <v>36</v>
      </c>
      <c r="Q6" s="106" t="s">
        <v>37</v>
      </c>
      <c r="R6" s="106" t="s">
        <v>38</v>
      </c>
      <c r="S6" s="106" t="s">
        <v>39</v>
      </c>
      <c r="T6" s="106" t="s">
        <v>40</v>
      </c>
      <c r="U6" s="106" t="s">
        <v>41</v>
      </c>
      <c r="V6" s="106" t="s">
        <v>42</v>
      </c>
      <c r="W6" s="106" t="s">
        <v>43</v>
      </c>
      <c r="X6" s="106" t="s">
        <v>44</v>
      </c>
      <c r="Y6" s="106" t="s">
        <v>45</v>
      </c>
      <c r="Z6" s="106" t="s">
        <v>46</v>
      </c>
      <c r="AA6" s="106" t="s">
        <v>47</v>
      </c>
      <c r="AB6" s="106" t="s">
        <v>48</v>
      </c>
      <c r="AC6" s="106" t="s">
        <v>49</v>
      </c>
      <c r="AD6" s="106" t="s">
        <v>50</v>
      </c>
      <c r="AE6" s="106" t="s">
        <v>51</v>
      </c>
      <c r="AF6" s="106" t="s">
        <v>52</v>
      </c>
      <c r="AG6" s="106" t="s">
        <v>53</v>
      </c>
      <c r="AH6" s="106" t="s">
        <v>54</v>
      </c>
      <c r="AI6" s="106" t="s">
        <v>55</v>
      </c>
      <c r="AJ6" s="106" t="s">
        <v>56</v>
      </c>
      <c r="AK6" s="106" t="s">
        <v>57</v>
      </c>
      <c r="AL6" s="106" t="s">
        <v>58</v>
      </c>
      <c r="AM6" s="106" t="s">
        <v>59</v>
      </c>
      <c r="AN6" s="106" t="s">
        <v>60</v>
      </c>
      <c r="AO6" s="106" t="s">
        <v>61</v>
      </c>
      <c r="AP6" s="106" t="s">
        <v>62</v>
      </c>
      <c r="AQ6" s="106" t="s">
        <v>63</v>
      </c>
      <c r="AR6" s="106" t="s">
        <v>64</v>
      </c>
      <c r="AS6" s="106" t="s">
        <v>65</v>
      </c>
      <c r="AT6" s="106" t="s">
        <v>66</v>
      </c>
      <c r="AU6" s="106" t="s">
        <v>67</v>
      </c>
      <c r="AV6" s="106" t="s">
        <v>68</v>
      </c>
      <c r="AW6" s="106" t="s">
        <v>69</v>
      </c>
      <c r="AX6" s="106" t="s">
        <v>70</v>
      </c>
      <c r="AY6" s="106" t="s">
        <v>71</v>
      </c>
      <c r="AZ6" s="106" t="s">
        <v>72</v>
      </c>
      <c r="BA6" s="106" t="s">
        <v>73</v>
      </c>
      <c r="BB6" s="107" t="s">
        <v>74</v>
      </c>
      <c r="BC6" s="107" t="s">
        <v>75</v>
      </c>
      <c r="BD6" s="107" t="s">
        <v>76</v>
      </c>
      <c r="BE6" s="107" t="s">
        <v>77</v>
      </c>
      <c r="BF6" s="107" t="s">
        <v>78</v>
      </c>
      <c r="BG6" s="107" t="s">
        <v>79</v>
      </c>
      <c r="BH6" s="107" t="s">
        <v>80</v>
      </c>
      <c r="BI6" s="106" t="s">
        <v>81</v>
      </c>
      <c r="BJ6" s="106" t="s">
        <v>82</v>
      </c>
      <c r="BK6" s="106" t="s">
        <v>83</v>
      </c>
      <c r="BL6" s="106" t="s">
        <v>84</v>
      </c>
      <c r="BM6" s="106" t="s">
        <v>85</v>
      </c>
      <c r="BN6" s="106" t="s">
        <v>86</v>
      </c>
      <c r="BO6" s="106" t="s">
        <v>87</v>
      </c>
      <c r="BP6" s="106" t="s">
        <v>88</v>
      </c>
      <c r="BQ6" s="106" t="s">
        <v>89</v>
      </c>
      <c r="BR6" s="106" t="s">
        <v>90</v>
      </c>
      <c r="BS6" s="106" t="s">
        <v>91</v>
      </c>
      <c r="BT6" s="106" t="s">
        <v>92</v>
      </c>
      <c r="BU6" s="106" t="s">
        <v>93</v>
      </c>
      <c r="BV6" s="106" t="s">
        <v>94</v>
      </c>
      <c r="BW6" s="106" t="s">
        <v>95</v>
      </c>
      <c r="BX6" s="106" t="s">
        <v>96</v>
      </c>
      <c r="BY6" s="106" t="s">
        <v>97</v>
      </c>
      <c r="BZ6" s="106" t="s">
        <v>98</v>
      </c>
      <c r="CA6" s="68" t="s">
        <v>99</v>
      </c>
      <c r="CB6" s="68" t="s">
        <v>100</v>
      </c>
      <c r="CC6" s="68" t="s">
        <v>101</v>
      </c>
      <c r="CD6" s="68" t="s">
        <v>102</v>
      </c>
      <c r="CE6" s="68" t="s">
        <v>99</v>
      </c>
      <c r="CF6" s="68" t="s">
        <v>100</v>
      </c>
      <c r="CG6" s="68" t="s">
        <v>101</v>
      </c>
      <c r="CH6" s="68" t="s">
        <v>102</v>
      </c>
      <c r="CI6" s="68" t="s">
        <v>99</v>
      </c>
      <c r="CJ6" s="68" t="s">
        <v>100</v>
      </c>
      <c r="CK6" s="68" t="s">
        <v>101</v>
      </c>
      <c r="CL6" s="68" t="s">
        <v>102</v>
      </c>
      <c r="CM6" s="68" t="s">
        <v>99</v>
      </c>
      <c r="CN6" s="68" t="s">
        <v>100</v>
      </c>
      <c r="CO6" s="68" t="s">
        <v>101</v>
      </c>
      <c r="CP6" s="68" t="s">
        <v>102</v>
      </c>
      <c r="CQ6" s="68" t="s">
        <v>99</v>
      </c>
      <c r="CR6" s="68" t="s">
        <v>100</v>
      </c>
      <c r="CS6" s="68" t="s">
        <v>101</v>
      </c>
      <c r="CT6" s="68" t="s">
        <v>102</v>
      </c>
      <c r="CU6" s="68" t="s">
        <v>99</v>
      </c>
      <c r="CV6" s="68" t="s">
        <v>100</v>
      </c>
      <c r="CW6" s="68" t="s">
        <v>101</v>
      </c>
      <c r="CX6" s="68" t="s">
        <v>102</v>
      </c>
      <c r="CY6" s="68" t="s">
        <v>99</v>
      </c>
      <c r="CZ6" s="68" t="s">
        <v>100</v>
      </c>
      <c r="DA6" s="68" t="s">
        <v>101</v>
      </c>
      <c r="DB6" s="68" t="s">
        <v>102</v>
      </c>
      <c r="DC6" s="68" t="s">
        <v>99</v>
      </c>
      <c r="DD6" s="68" t="s">
        <v>100</v>
      </c>
      <c r="DE6" s="68" t="s">
        <v>101</v>
      </c>
      <c r="DF6" s="68" t="s">
        <v>102</v>
      </c>
      <c r="DG6" s="68" t="s">
        <v>99</v>
      </c>
      <c r="DH6" s="68" t="s">
        <v>100</v>
      </c>
      <c r="DI6" s="68" t="s">
        <v>101</v>
      </c>
      <c r="DJ6" s="68" t="s">
        <v>102</v>
      </c>
      <c r="DK6" s="68" t="s">
        <v>99</v>
      </c>
      <c r="DL6" s="68" t="s">
        <v>100</v>
      </c>
      <c r="DM6" s="68" t="s">
        <v>101</v>
      </c>
      <c r="DN6" s="68" t="s">
        <v>102</v>
      </c>
      <c r="DO6" s="68" t="s">
        <v>99</v>
      </c>
      <c r="DP6" s="68" t="s">
        <v>100</v>
      </c>
      <c r="DQ6" s="68" t="s">
        <v>101</v>
      </c>
      <c r="DR6" s="68" t="s">
        <v>102</v>
      </c>
      <c r="DS6" s="68" t="s">
        <v>99</v>
      </c>
      <c r="DT6" s="68" t="s">
        <v>100</v>
      </c>
      <c r="DU6" s="68" t="s">
        <v>101</v>
      </c>
      <c r="DV6" s="68" t="s">
        <v>102</v>
      </c>
      <c r="DW6" s="68" t="s">
        <v>99</v>
      </c>
      <c r="DX6" s="68" t="s">
        <v>100</v>
      </c>
      <c r="DY6" s="68" t="s">
        <v>101</v>
      </c>
      <c r="DZ6" s="68" t="s">
        <v>102</v>
      </c>
      <c r="EA6" s="68" t="s">
        <v>99</v>
      </c>
      <c r="EB6" s="68" t="s">
        <v>100</v>
      </c>
      <c r="EC6" s="68" t="s">
        <v>101</v>
      </c>
      <c r="ED6" s="68" t="s">
        <v>102</v>
      </c>
    </row>
    <row r="7" spans="1:140" ht="67.5">
      <c r="A7" s="67">
        <f>IFERROR(VLOOKUP($B7,$EI$7:$EJ$53,2,0),0)</f>
        <v>27</v>
      </c>
      <c r="B7" s="68" t="str">
        <f>+'様式4（全般事項）'!H19</f>
        <v>大阪府</v>
      </c>
      <c r="C7" s="68" t="str">
        <f>+'様式4（全般事項）'!H26</f>
        <v>豊能二次医療圏</v>
      </c>
      <c r="D7" s="68" t="str">
        <f>+'様式4（全般事項）'!H25</f>
        <v>豊能医療圏</v>
      </c>
      <c r="E7" s="68" t="e">
        <f>+#REF!</f>
        <v>#REF!</v>
      </c>
      <c r="F7" s="68" t="e">
        <f>+表紙!#REF!</f>
        <v>#REF!</v>
      </c>
      <c r="G7" s="68" t="str">
        <f>+'様式4（全般事項）'!G6</f>
        <v>地域がん診療連携拠点病院</v>
      </c>
      <c r="H7" s="68" t="str">
        <f>+'様式4（全般事項）'!G5</f>
        <v>地域がん診療連携拠点病院</v>
      </c>
      <c r="I7" s="68">
        <f>'様式4（全般事項）'!K5</f>
        <v>0</v>
      </c>
      <c r="J7" s="68">
        <f>+IF(H7="地域がん診療病院",'様式４(機能別)'!J502,'様式４(機能別)'!J172)</f>
        <v>1722</v>
      </c>
      <c r="K7" s="68">
        <f>+IF(H7="地域がん診療病院",'様式４(機能別)'!J503,'様式４(機能別)'!J173)</f>
        <v>1399</v>
      </c>
      <c r="L7" s="68">
        <f>+IF(H7="地域がん診療病院",'様式４(機能別)'!J504,'様式４(機能別)'!J174)</f>
        <v>2400</v>
      </c>
      <c r="M7" s="68">
        <f>+IF(H7="地域がん診療病院",'様式４(機能別)'!J506,'様式４(機能別)'!J176)</f>
        <v>293</v>
      </c>
      <c r="N7" s="68">
        <f>+IF(H7="地域がん診療病院",'様式４(機能別)'!J507,'様式４(機能別)'!J177)</f>
        <v>260</v>
      </c>
      <c r="O7" s="68">
        <f>+IF(H7="地域がん診療病院",'様式４(機能別)'!J501,'様式４(機能別)'!J179)</f>
        <v>16</v>
      </c>
      <c r="P7" s="106">
        <f>+IF($H$7="地域がん診療病院",'様式４(機能別)'!J586,'様式４(機能別)'!J265)</f>
        <v>1</v>
      </c>
      <c r="Q7" s="106">
        <f>別紙28都道府県協議会!H11</f>
        <v>0</v>
      </c>
      <c r="R7" s="106">
        <f>別紙28都道府県協議会!H22</f>
        <v>0</v>
      </c>
      <c r="S7" s="106" t="str">
        <f>+IF($H$7="地域がん診療病院",'様式４(機能別)'!J452,'様式４(機能別)'!J116)</f>
        <v>はい</v>
      </c>
      <c r="T7" s="106">
        <f>別紙28都道府県協議会!H30</f>
        <v>0</v>
      </c>
      <c r="U7" s="106">
        <f>+IF($H$7="地域がん診療病院",'様式４(機能別)'!J463,'様式４(機能別)'!J128)</f>
        <v>2</v>
      </c>
      <c r="V7" s="106">
        <f>+IF($H$7="地域がん診療病院",'様式４(機能別)'!J483,'様式４(機能別)'!J151)</f>
        <v>7</v>
      </c>
      <c r="W7" s="108">
        <f>'様式4（全般事項）'!R236/('様式4（全般事項）'!R235+'様式4（全般事項）'!R237)</f>
        <v>9.7142857142857135</v>
      </c>
      <c r="X7" s="108">
        <f>'様式4（全般事項）'!R241/('様式4（全般事項）'!R240+'様式4（全般事項）'!R241)</f>
        <v>0.97058823529411764</v>
      </c>
      <c r="Y7" s="108">
        <f>'様式4（全般事項）'!R245/('様式4（全般事項）'!R244+'様式4（全般事項）'!R245)</f>
        <v>0.95833333333333337</v>
      </c>
      <c r="Z7" s="108">
        <f>'様式4（全般事項）'!R257/('様式4（全般事項）'!R256+'様式4（全般事項）'!R257)</f>
        <v>1</v>
      </c>
      <c r="AA7" s="108">
        <f>'様式4（全般事項）'!R261/('様式4（全般事項）'!R260+'様式4（全般事項）'!R261)</f>
        <v>0.2857142857142857</v>
      </c>
      <c r="AB7" s="108">
        <f>'様式4（全般事項）'!R267/('様式4（全般事項）'!R266+'様式4（全般事項）'!R267)</f>
        <v>0</v>
      </c>
      <c r="AC7" s="108">
        <f>'様式4（全般事項）'!R272/('様式4（全般事項）'!R271+'様式4（全般事項）'!R272)</f>
        <v>0.11764705882352941</v>
      </c>
      <c r="AD7" s="106" t="str">
        <f>+IF($H$7="地域がん診療病院",'様式４(機能別)'!J378,'様式４(機能別)'!J39)</f>
        <v>はい</v>
      </c>
      <c r="AE7" s="106" t="str">
        <f>'様式４(機能別)'!J40</f>
        <v>いいえ</v>
      </c>
      <c r="AF7" s="106">
        <f>'様式４(機能別)'!J121</f>
        <v>1</v>
      </c>
      <c r="AG7" s="106">
        <f>'様式４(機能別)'!J131</f>
        <v>6</v>
      </c>
      <c r="AH7" s="106">
        <f>'様式４(機能別)'!J136</f>
        <v>1</v>
      </c>
      <c r="AI7" s="106">
        <f>'様式４(機能別)'!J138</f>
        <v>2</v>
      </c>
      <c r="AJ7" s="106">
        <f>+IF($H$7="地域がん診療病院",'様式４(機能別)'!J457,'様式４(機能別)'!J122)</f>
        <v>1</v>
      </c>
      <c r="AK7" s="106">
        <f>+IF($H$7="地域がん診療病院",'様式４(機能別)'!J474,'様式４(機能別)'!J140)</f>
        <v>1</v>
      </c>
      <c r="AL7" s="106" t="str">
        <f>+IF($H$7="地域がん診療病院",'様式４(機能別)'!J388,'様式４(機能別)'!J52)</f>
        <v>はい</v>
      </c>
      <c r="AM7" s="106" t="str">
        <f>+IF($H$7="地域がん診療病院",'様式４(機能別)'!J570,'様式４(機能別)'!J249)</f>
        <v>はい</v>
      </c>
      <c r="AN7" s="106">
        <f>別紙28都道府県協議会!H16</f>
        <v>0</v>
      </c>
      <c r="AO7" s="106" t="str">
        <f>+IF($H$7="地域がん診療病院",'様式４(機能別)'!J428,'様式４(機能別)'!J92)</f>
        <v>はい</v>
      </c>
      <c r="AP7" s="106" t="str">
        <f>別紙19チーム医療の提供体制!I9</f>
        <v>はい</v>
      </c>
      <c r="AQ7" s="106">
        <f>'様式４(機能別)'!J129</f>
        <v>1</v>
      </c>
      <c r="AR7" s="106">
        <f>'様式４(機能別)'!J152</f>
        <v>22</v>
      </c>
      <c r="AS7" s="106">
        <f>別紙11相談内容!C23</f>
        <v>47</v>
      </c>
      <c r="AT7" s="106" t="str">
        <f>別紙15専門外来!D22</f>
        <v>はい</v>
      </c>
      <c r="AU7" s="106" t="str">
        <f>別紙15専門外来!W15</f>
        <v>はい</v>
      </c>
      <c r="AV7" s="106">
        <f>'様式4（全般事項）'!R295+'様式4（全般事項）'!R296+'様式4（全般事項）'!R297</f>
        <v>260</v>
      </c>
      <c r="AW7" s="106">
        <f>別紙5緩和外来!U22</f>
        <v>33</v>
      </c>
      <c r="AX7" s="106">
        <f>別紙7地域緩和ケア連携体制!H7</f>
        <v>2</v>
      </c>
      <c r="AY7" s="106">
        <f>別紙5緩和外来!U25</f>
        <v>0</v>
      </c>
      <c r="AZ7" s="106" t="str">
        <f>別紙10患者の特性に応じた支援!Q16</f>
        <v>はい</v>
      </c>
      <c r="BA7" s="106">
        <f>別紙11相談内容!C22</f>
        <v>20</v>
      </c>
      <c r="BB7" s="107"/>
      <c r="BC7" s="107"/>
      <c r="BD7" s="107"/>
      <c r="BE7" s="107"/>
      <c r="BF7" s="107"/>
      <c r="BG7" s="107"/>
      <c r="BH7" s="107"/>
      <c r="BI7" s="106">
        <f>別紙28都道府県協議会!H49</f>
        <v>0</v>
      </c>
      <c r="BJ7" s="106" t="str">
        <f>+IF($H$7="地域がん診療病院",'様式４(機能別)'!J447,'様式４(機能別)'!J111)</f>
        <v>はい</v>
      </c>
      <c r="BK7" s="106" t="str">
        <f>+IF($H$7="地域がん診療病院",'様式４(機能別)'!J431,'様式４(機能別)'!J95)</f>
        <v>はい</v>
      </c>
      <c r="BL7" s="106" t="str">
        <f>+IF($H$7="地域がん診療病院",'様式４(機能別)'!J450,'様式４(機能別)'!J114)</f>
        <v>はい</v>
      </c>
      <c r="BM7" s="106" t="str">
        <f>別紙17臨床試験・治験!M7</f>
        <v>担当している診療科が窓口となっている</v>
      </c>
      <c r="BN7" s="106">
        <f>別紙11相談内容!C11+別紙11相談内容!C12</f>
        <v>783</v>
      </c>
      <c r="BO7" s="106">
        <f>別紙13相談支援センター体制!G9+別紙13相談支援センター体制!G12</f>
        <v>3</v>
      </c>
      <c r="BP7" s="106">
        <f>別紙13相談支援センター体制!G17</f>
        <v>3</v>
      </c>
      <c r="BQ7" s="106">
        <f>別紙14連携協力体制!E35</f>
        <v>5</v>
      </c>
      <c r="BR7" s="106">
        <f>別紙14連携協力体制!E30+別紙14連携協力体制!E31</f>
        <v>12</v>
      </c>
      <c r="BS7" s="106">
        <f>別紙11相談内容!F21</f>
        <v>139</v>
      </c>
      <c r="BT7" s="106">
        <f>別紙14連携協力体制!E7</f>
        <v>11</v>
      </c>
      <c r="BU7" s="106">
        <f>別紙11相談内容!C23</f>
        <v>47</v>
      </c>
      <c r="BV7" s="106" t="str">
        <f>別紙14連携協力体制!E28</f>
        <v>いいえ</v>
      </c>
      <c r="BW7" s="106" t="str">
        <f>+IF($H$7="地域がん診療病院",'様式４(機能別)'!J541,'様式４(機能別)'!J219)</f>
        <v>いいえ</v>
      </c>
      <c r="BX7" s="106" t="str">
        <f>別紙9インターネット環境!I7</f>
        <v>はい</v>
      </c>
      <c r="BY7" s="106" t="str">
        <f>+IF($H$7="地域がん診療病院",'様式４(機能別)'!J439,'様式４(機能別)'!J103)</f>
        <v>はい</v>
      </c>
      <c r="BZ7" s="106" t="str">
        <f>+IF($H$7="地域がん診療病院",'様式４(機能別)'!J492,'様式４(機能別)'!J159)</f>
        <v>はい</v>
      </c>
      <c r="CA7" s="69">
        <f>+別紙1未充足要件!B11</f>
        <v>0</v>
      </c>
      <c r="CB7" s="70" t="str">
        <f>+別紙1未充足要件!C11</f>
        <v/>
      </c>
      <c r="CC7" s="74">
        <f>+別紙1未充足要件!D11</f>
        <v>0</v>
      </c>
      <c r="CD7" s="71">
        <f>+別紙1未充足要件!E11</f>
        <v>0</v>
      </c>
      <c r="CE7" s="69">
        <f>+別紙1未充足要件!B12</f>
        <v>0</v>
      </c>
      <c r="CF7" s="70" t="str">
        <f>+別紙1未充足要件!C12</f>
        <v/>
      </c>
      <c r="CG7" s="74">
        <f>+別紙1未充足要件!D12</f>
        <v>0</v>
      </c>
      <c r="CH7" s="71">
        <f>+別紙1未充足要件!E12</f>
        <v>0</v>
      </c>
      <c r="CI7" s="69">
        <f>+別紙1未充足要件!B13</f>
        <v>0</v>
      </c>
      <c r="CJ7" s="70" t="str">
        <f>+別紙1未充足要件!C13</f>
        <v/>
      </c>
      <c r="CK7" s="74">
        <f>+別紙1未充足要件!D13</f>
        <v>0</v>
      </c>
      <c r="CL7" s="71">
        <f>+別紙1未充足要件!E13</f>
        <v>0</v>
      </c>
      <c r="CM7" s="69">
        <f>+別紙1未充足要件!B14</f>
        <v>0</v>
      </c>
      <c r="CN7" s="70" t="str">
        <f>+別紙1未充足要件!C14</f>
        <v/>
      </c>
      <c r="CO7" s="74">
        <f>+別紙1未充足要件!D14</f>
        <v>0</v>
      </c>
      <c r="CP7" s="71">
        <f>+別紙1未充足要件!E14</f>
        <v>0</v>
      </c>
      <c r="CQ7" s="69">
        <f>+別紙1未充足要件!B15</f>
        <v>0</v>
      </c>
      <c r="CR7" s="70" t="str">
        <f>+別紙1未充足要件!C15</f>
        <v/>
      </c>
      <c r="CS7" s="74">
        <f>+別紙1未充足要件!D15</f>
        <v>0</v>
      </c>
      <c r="CT7" s="71">
        <f>+別紙1未充足要件!E15</f>
        <v>0</v>
      </c>
      <c r="CU7" s="69">
        <f>+別紙1未充足要件!B16</f>
        <v>0</v>
      </c>
      <c r="CV7" s="70" t="str">
        <f>+別紙1未充足要件!C16</f>
        <v/>
      </c>
      <c r="CW7" s="74">
        <f>+別紙1未充足要件!D16</f>
        <v>0</v>
      </c>
      <c r="CX7" s="71">
        <f>+別紙1未充足要件!E16</f>
        <v>0</v>
      </c>
      <c r="CY7" s="69">
        <f>+別紙1未充足要件!B17</f>
        <v>0</v>
      </c>
      <c r="CZ7" s="70" t="str">
        <f>+別紙1未充足要件!C17</f>
        <v/>
      </c>
      <c r="DA7" s="74">
        <f>+別紙1未充足要件!D17</f>
        <v>0</v>
      </c>
      <c r="DB7" s="71">
        <f>+別紙1未充足要件!E17</f>
        <v>0</v>
      </c>
      <c r="DC7" s="69">
        <f>+別紙1未充足要件!B18</f>
        <v>0</v>
      </c>
      <c r="DD7" s="70" t="str">
        <f>+別紙1未充足要件!C18</f>
        <v/>
      </c>
      <c r="DE7" s="74">
        <f>+別紙1未充足要件!D18</f>
        <v>0</v>
      </c>
      <c r="DF7" s="71">
        <f>+別紙1未充足要件!E18</f>
        <v>0</v>
      </c>
      <c r="DG7" s="69">
        <f>+別紙1未充足要件!B19</f>
        <v>0</v>
      </c>
      <c r="DH7" s="70" t="str">
        <f>+別紙1未充足要件!C19</f>
        <v/>
      </c>
      <c r="DI7" s="74">
        <f>+別紙1未充足要件!D19</f>
        <v>0</v>
      </c>
      <c r="DJ7" s="71">
        <f>+別紙1未充足要件!E19</f>
        <v>0</v>
      </c>
      <c r="DK7" s="69">
        <f>+別紙1未充足要件!B20</f>
        <v>0</v>
      </c>
      <c r="DL7" s="70" t="str">
        <f>+別紙1未充足要件!C20</f>
        <v/>
      </c>
      <c r="DM7" s="74">
        <f>+別紙1未充足要件!D20</f>
        <v>0</v>
      </c>
      <c r="DN7" s="71">
        <f>+別紙1未充足要件!E20</f>
        <v>0</v>
      </c>
      <c r="DO7" s="69">
        <f>+別紙1未充足要件!B21</f>
        <v>0</v>
      </c>
      <c r="DP7" s="70" t="str">
        <f>+別紙1未充足要件!C21</f>
        <v/>
      </c>
      <c r="DQ7" s="74">
        <f>+別紙1未充足要件!D21</f>
        <v>0</v>
      </c>
      <c r="DR7" s="71">
        <f>+別紙1未充足要件!E21</f>
        <v>0</v>
      </c>
      <c r="DS7" s="69">
        <f>+別紙1未充足要件!B22</f>
        <v>0</v>
      </c>
      <c r="DT7" s="70" t="str">
        <f>+別紙1未充足要件!C22</f>
        <v/>
      </c>
      <c r="DU7" s="74">
        <f>+別紙1未充足要件!D22</f>
        <v>0</v>
      </c>
      <c r="DV7" s="71">
        <f>+別紙1未充足要件!E22</f>
        <v>0</v>
      </c>
      <c r="DW7" s="69">
        <f>+別紙1未充足要件!B23</f>
        <v>0</v>
      </c>
      <c r="DX7" s="70" t="str">
        <f>+別紙1未充足要件!C23</f>
        <v/>
      </c>
      <c r="DY7" s="74">
        <f>+別紙1未充足要件!D23</f>
        <v>0</v>
      </c>
      <c r="DZ7" s="71">
        <f>+別紙1未充足要件!E23</f>
        <v>0</v>
      </c>
      <c r="EA7" s="69">
        <f>+別紙1未充足要件!B24</f>
        <v>0</v>
      </c>
      <c r="EB7" s="70" t="str">
        <f>+別紙1未充足要件!C24</f>
        <v/>
      </c>
      <c r="EC7" s="74">
        <f>+別紙1未充足要件!D24</f>
        <v>0</v>
      </c>
      <c r="ED7" s="71">
        <f>+別紙1未充足要件!E24</f>
        <v>0</v>
      </c>
      <c r="EI7" s="59" t="s">
        <v>103</v>
      </c>
      <c r="EJ7" s="59">
        <v>1</v>
      </c>
    </row>
    <row r="8" spans="1:140">
      <c r="EI8" s="59" t="s">
        <v>104</v>
      </c>
      <c r="EJ8" s="59">
        <v>2</v>
      </c>
    </row>
    <row r="9" spans="1:140">
      <c r="EI9" s="59" t="s">
        <v>105</v>
      </c>
      <c r="EJ9" s="59">
        <v>3</v>
      </c>
    </row>
    <row r="10" spans="1:140">
      <c r="EI10" s="59" t="s">
        <v>106</v>
      </c>
      <c r="EJ10" s="59">
        <v>4</v>
      </c>
    </row>
    <row r="11" spans="1:140">
      <c r="EI11" s="59" t="s">
        <v>107</v>
      </c>
      <c r="EJ11" s="59">
        <v>5</v>
      </c>
    </row>
    <row r="12" spans="1:140">
      <c r="EI12" s="59" t="s">
        <v>108</v>
      </c>
      <c r="EJ12" s="59">
        <v>6</v>
      </c>
    </row>
    <row r="13" spans="1:140">
      <c r="EI13" s="59" t="s">
        <v>109</v>
      </c>
      <c r="EJ13" s="59">
        <v>7</v>
      </c>
    </row>
    <row r="14" spans="1:140">
      <c r="EI14" s="59" t="s">
        <v>110</v>
      </c>
      <c r="EJ14" s="59">
        <v>8</v>
      </c>
    </row>
    <row r="15" spans="1:140">
      <c r="EI15" s="59" t="s">
        <v>111</v>
      </c>
      <c r="EJ15" s="59">
        <v>9</v>
      </c>
    </row>
    <row r="16" spans="1:140">
      <c r="EI16" s="59" t="s">
        <v>112</v>
      </c>
      <c r="EJ16" s="59">
        <v>10</v>
      </c>
    </row>
    <row r="17" spans="139:140">
      <c r="EI17" s="59" t="s">
        <v>113</v>
      </c>
      <c r="EJ17" s="59">
        <v>11</v>
      </c>
    </row>
    <row r="18" spans="139:140">
      <c r="EI18" s="59" t="s">
        <v>114</v>
      </c>
      <c r="EJ18" s="59">
        <v>12</v>
      </c>
    </row>
    <row r="19" spans="139:140">
      <c r="EI19" s="59" t="s">
        <v>115</v>
      </c>
      <c r="EJ19" s="59">
        <v>13</v>
      </c>
    </row>
    <row r="20" spans="139:140">
      <c r="EI20" s="59" t="s">
        <v>116</v>
      </c>
      <c r="EJ20" s="59">
        <v>14</v>
      </c>
    </row>
    <row r="21" spans="139:140">
      <c r="EI21" s="59" t="s">
        <v>117</v>
      </c>
      <c r="EJ21" s="59">
        <v>15</v>
      </c>
    </row>
    <row r="22" spans="139:140">
      <c r="EI22" s="59" t="s">
        <v>118</v>
      </c>
      <c r="EJ22" s="59">
        <v>16</v>
      </c>
    </row>
    <row r="23" spans="139:140">
      <c r="EI23" s="59" t="s">
        <v>119</v>
      </c>
      <c r="EJ23" s="59">
        <v>17</v>
      </c>
    </row>
    <row r="24" spans="139:140">
      <c r="EI24" s="59" t="s">
        <v>120</v>
      </c>
      <c r="EJ24" s="59">
        <v>18</v>
      </c>
    </row>
    <row r="25" spans="139:140">
      <c r="EI25" s="59" t="s">
        <v>121</v>
      </c>
      <c r="EJ25" s="59">
        <v>19</v>
      </c>
    </row>
    <row r="26" spans="139:140">
      <c r="EI26" s="59" t="s">
        <v>122</v>
      </c>
      <c r="EJ26" s="59">
        <v>20</v>
      </c>
    </row>
    <row r="27" spans="139:140">
      <c r="EI27" s="59" t="s">
        <v>123</v>
      </c>
      <c r="EJ27" s="59">
        <v>21</v>
      </c>
    </row>
    <row r="28" spans="139:140">
      <c r="EI28" s="59" t="s">
        <v>124</v>
      </c>
      <c r="EJ28" s="59">
        <v>22</v>
      </c>
    </row>
    <row r="29" spans="139:140">
      <c r="EI29" s="59" t="s">
        <v>125</v>
      </c>
      <c r="EJ29" s="59">
        <v>23</v>
      </c>
    </row>
    <row r="30" spans="139:140">
      <c r="EI30" s="59" t="s">
        <v>126</v>
      </c>
      <c r="EJ30" s="59">
        <v>24</v>
      </c>
    </row>
    <row r="31" spans="139:140">
      <c r="EI31" s="59" t="s">
        <v>127</v>
      </c>
      <c r="EJ31" s="59">
        <v>25</v>
      </c>
    </row>
    <row r="32" spans="139:140">
      <c r="EI32" s="59" t="s">
        <v>128</v>
      </c>
      <c r="EJ32" s="59">
        <v>26</v>
      </c>
    </row>
    <row r="33" spans="139:140">
      <c r="EI33" s="59" t="s">
        <v>129</v>
      </c>
      <c r="EJ33" s="59">
        <v>27</v>
      </c>
    </row>
    <row r="34" spans="139:140">
      <c r="EI34" s="59" t="s">
        <v>130</v>
      </c>
      <c r="EJ34" s="59">
        <v>28</v>
      </c>
    </row>
    <row r="35" spans="139:140">
      <c r="EI35" s="59" t="s">
        <v>131</v>
      </c>
      <c r="EJ35" s="59">
        <v>29</v>
      </c>
    </row>
    <row r="36" spans="139:140">
      <c r="EI36" s="59" t="s">
        <v>132</v>
      </c>
      <c r="EJ36" s="59">
        <v>30</v>
      </c>
    </row>
    <row r="37" spans="139:140">
      <c r="EI37" s="59" t="s">
        <v>133</v>
      </c>
      <c r="EJ37" s="59">
        <v>31</v>
      </c>
    </row>
    <row r="38" spans="139:140">
      <c r="EI38" s="59" t="s">
        <v>134</v>
      </c>
      <c r="EJ38" s="59">
        <v>32</v>
      </c>
    </row>
    <row r="39" spans="139:140">
      <c r="EI39" s="59" t="s">
        <v>135</v>
      </c>
      <c r="EJ39" s="59">
        <v>33</v>
      </c>
    </row>
    <row r="40" spans="139:140">
      <c r="EI40" s="59" t="s">
        <v>136</v>
      </c>
      <c r="EJ40" s="59">
        <v>34</v>
      </c>
    </row>
    <row r="41" spans="139:140">
      <c r="EI41" s="59" t="s">
        <v>137</v>
      </c>
      <c r="EJ41" s="59">
        <v>35</v>
      </c>
    </row>
    <row r="42" spans="139:140">
      <c r="EI42" s="59" t="s">
        <v>138</v>
      </c>
      <c r="EJ42" s="59">
        <v>36</v>
      </c>
    </row>
    <row r="43" spans="139:140">
      <c r="EI43" s="59" t="s">
        <v>139</v>
      </c>
      <c r="EJ43" s="59">
        <v>37</v>
      </c>
    </row>
    <row r="44" spans="139:140">
      <c r="EI44" s="59" t="s">
        <v>140</v>
      </c>
      <c r="EJ44" s="59">
        <v>38</v>
      </c>
    </row>
    <row r="45" spans="139:140">
      <c r="EI45" s="59" t="s">
        <v>141</v>
      </c>
      <c r="EJ45" s="59">
        <v>39</v>
      </c>
    </row>
    <row r="46" spans="139:140">
      <c r="EI46" s="59" t="s">
        <v>142</v>
      </c>
      <c r="EJ46" s="59">
        <v>40</v>
      </c>
    </row>
    <row r="47" spans="139:140">
      <c r="EI47" s="59" t="s">
        <v>143</v>
      </c>
      <c r="EJ47" s="59">
        <v>41</v>
      </c>
    </row>
    <row r="48" spans="139:140">
      <c r="EI48" s="59" t="s">
        <v>144</v>
      </c>
      <c r="EJ48" s="59">
        <v>42</v>
      </c>
    </row>
    <row r="49" spans="139:140">
      <c r="EI49" s="59" t="s">
        <v>145</v>
      </c>
      <c r="EJ49" s="59">
        <v>43</v>
      </c>
    </row>
    <row r="50" spans="139:140">
      <c r="EI50" s="59" t="s">
        <v>146</v>
      </c>
      <c r="EJ50" s="59">
        <v>44</v>
      </c>
    </row>
    <row r="51" spans="139:140">
      <c r="EI51" s="59" t="s">
        <v>147</v>
      </c>
      <c r="EJ51" s="59">
        <v>45</v>
      </c>
    </row>
    <row r="52" spans="139:140">
      <c r="EI52" s="59" t="s">
        <v>148</v>
      </c>
      <c r="EJ52" s="59">
        <v>46</v>
      </c>
    </row>
    <row r="53" spans="139:140">
      <c r="EI53" s="59" t="s">
        <v>149</v>
      </c>
      <c r="EJ53" s="59">
        <v>47</v>
      </c>
    </row>
  </sheetData>
  <mergeCells count="1">
    <mergeCell ref="W5:AC5"/>
  </mergeCells>
  <phoneticPr fontId="10"/>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532" customWidth="1"/>
    <col min="7" max="7" width="11.375" style="532" customWidth="1"/>
    <col min="8" max="8" width="2.375" style="532" customWidth="1"/>
    <col min="9" max="10" width="2.25" style="532" hidden="1" customWidth="1"/>
    <col min="11" max="11" width="80.625" style="600" customWidth="1"/>
    <col min="12" max="16384" width="9" style="532"/>
  </cols>
  <sheetData>
    <row r="1" spans="1:11" ht="20.25" customHeight="1" thickBot="1">
      <c r="A1" s="1225" t="s">
        <v>1347</v>
      </c>
      <c r="B1" s="1226"/>
      <c r="C1" s="1226"/>
      <c r="D1" s="1226"/>
      <c r="E1" s="1226"/>
      <c r="F1" s="1226"/>
      <c r="G1" s="1226"/>
      <c r="I1" s="64"/>
      <c r="J1" s="64"/>
      <c r="K1" s="172"/>
    </row>
    <row r="2" spans="1:11" ht="24.95" customHeight="1" thickTop="1" thickBot="1">
      <c r="A2" s="1228" t="s">
        <v>1348</v>
      </c>
      <c r="B2" s="1228"/>
      <c r="C2" s="1228"/>
      <c r="D2" s="1228"/>
      <c r="E2" s="1228"/>
      <c r="F2" s="1228"/>
      <c r="G2" s="533" t="str">
        <f>IF(COUNTIF(I9,"×")=0,"入力済","未入力あり")</f>
        <v>入力済</v>
      </c>
      <c r="H2" s="1234"/>
      <c r="I2" s="64"/>
      <c r="J2" s="64"/>
      <c r="K2" s="340"/>
    </row>
    <row r="3" spans="1:11" ht="5.0999999999999996" customHeight="1" thickTop="1">
      <c r="H3" s="1234"/>
      <c r="I3" s="594"/>
      <c r="J3" s="594"/>
      <c r="K3" s="595"/>
    </row>
    <row r="4" spans="1:11" ht="20.100000000000001" customHeight="1">
      <c r="E4" s="596" t="s">
        <v>1222</v>
      </c>
      <c r="F4" s="1229" t="str">
        <f>+表紙!E2</f>
        <v>市立豊中病院</v>
      </c>
      <c r="G4" s="1230"/>
      <c r="H4" s="1234"/>
      <c r="I4" s="594"/>
      <c r="J4" s="594"/>
      <c r="K4" s="597" t="s">
        <v>268</v>
      </c>
    </row>
    <row r="5" spans="1:11" ht="20.100000000000001" customHeight="1">
      <c r="E5" s="536" t="s">
        <v>1223</v>
      </c>
      <c r="F5" s="1047" t="str">
        <f>+'事務局使用（発出時は非表示にすること）'!B3</f>
        <v>令和６年９月１日時点</v>
      </c>
      <c r="G5"/>
      <c r="K5" s="173"/>
    </row>
    <row r="6" spans="1:11" ht="38.25" customHeight="1">
      <c r="A6" s="1287" t="s">
        <v>1349</v>
      </c>
      <c r="B6" s="1287"/>
      <c r="C6" s="1287"/>
      <c r="D6" s="1287"/>
      <c r="E6" s="1287"/>
      <c r="F6" s="1287"/>
      <c r="G6" s="1287"/>
      <c r="K6" s="173"/>
    </row>
    <row r="7" spans="1:11">
      <c r="A7" s="1100" t="s">
        <v>1350</v>
      </c>
      <c r="B7" s="1101"/>
      <c r="C7" s="1101"/>
      <c r="D7" s="1101"/>
      <c r="E7" s="1101"/>
      <c r="F7" s="1101"/>
      <c r="G7" s="1102"/>
      <c r="K7" s="173"/>
    </row>
    <row r="8" spans="1:11" ht="14.25" thickBot="1">
      <c r="A8" s="1011" t="s">
        <v>1351</v>
      </c>
      <c r="B8" s="598"/>
      <c r="C8" s="598"/>
      <c r="D8" s="598"/>
      <c r="E8" s="598"/>
      <c r="F8" s="598"/>
      <c r="G8" s="599"/>
      <c r="K8" s="173"/>
    </row>
    <row r="9" spans="1:11">
      <c r="A9" s="1278" t="s">
        <v>1972</v>
      </c>
      <c r="B9" s="1279"/>
      <c r="C9" s="1279"/>
      <c r="D9" s="1279"/>
      <c r="E9" s="1279"/>
      <c r="F9" s="1279"/>
      <c r="G9" s="1280"/>
      <c r="I9" s="9" t="str">
        <f>IF(A9&lt;&gt;"","○","×")</f>
        <v>○</v>
      </c>
      <c r="J9" s="9"/>
      <c r="K9" s="173"/>
    </row>
    <row r="10" spans="1:11">
      <c r="A10" s="1281"/>
      <c r="B10" s="1282"/>
      <c r="C10" s="1282"/>
      <c r="D10" s="1282"/>
      <c r="E10" s="1282"/>
      <c r="F10" s="1282"/>
      <c r="G10" s="1283"/>
      <c r="K10" s="173"/>
    </row>
    <row r="11" spans="1:11">
      <c r="A11" s="1281"/>
      <c r="B11" s="1282"/>
      <c r="C11" s="1282"/>
      <c r="D11" s="1282"/>
      <c r="E11" s="1282"/>
      <c r="F11" s="1282"/>
      <c r="G11" s="1283"/>
      <c r="K11" s="173"/>
    </row>
    <row r="12" spans="1:11">
      <c r="A12" s="1281"/>
      <c r="B12" s="1282"/>
      <c r="C12" s="1282"/>
      <c r="D12" s="1282"/>
      <c r="E12" s="1282"/>
      <c r="F12" s="1282"/>
      <c r="G12" s="1283"/>
      <c r="K12" s="173"/>
    </row>
    <row r="13" spans="1:11">
      <c r="A13" s="1281"/>
      <c r="B13" s="1282"/>
      <c r="C13" s="1282"/>
      <c r="D13" s="1282"/>
      <c r="E13" s="1282"/>
      <c r="F13" s="1282"/>
      <c r="G13" s="1283"/>
      <c r="K13" s="173"/>
    </row>
    <row r="14" spans="1:11">
      <c r="A14" s="1281"/>
      <c r="B14" s="1282"/>
      <c r="C14" s="1282"/>
      <c r="D14" s="1282"/>
      <c r="E14" s="1282"/>
      <c r="F14" s="1282"/>
      <c r="G14" s="1283"/>
      <c r="K14" s="173"/>
    </row>
    <row r="15" spans="1:11">
      <c r="A15" s="1281"/>
      <c r="B15" s="1282"/>
      <c r="C15" s="1282"/>
      <c r="D15" s="1282"/>
      <c r="E15" s="1282"/>
      <c r="F15" s="1282"/>
      <c r="G15" s="1283"/>
      <c r="K15" s="173"/>
    </row>
    <row r="16" spans="1:11">
      <c r="A16" s="1281"/>
      <c r="B16" s="1282"/>
      <c r="C16" s="1282"/>
      <c r="D16" s="1282"/>
      <c r="E16" s="1282"/>
      <c r="F16" s="1282"/>
      <c r="G16" s="1283"/>
      <c r="K16" s="173"/>
    </row>
    <row r="17" spans="1:11" ht="14.25" thickBot="1">
      <c r="A17" s="1284"/>
      <c r="B17" s="1285"/>
      <c r="C17" s="1285"/>
      <c r="D17" s="1285"/>
      <c r="E17" s="1285"/>
      <c r="F17" s="1285"/>
      <c r="G17" s="1286"/>
      <c r="K17" s="174"/>
    </row>
  </sheetData>
  <sheetProtection selectLockedCells="1"/>
  <mergeCells count="6">
    <mergeCell ref="A9:G17"/>
    <mergeCell ref="A1:G1"/>
    <mergeCell ref="A2:F2"/>
    <mergeCell ref="H2:H4"/>
    <mergeCell ref="F4:G4"/>
    <mergeCell ref="A6:G6"/>
  </mergeCells>
  <phoneticPr fontId="10"/>
  <dataValidations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zoomScaleNormal="100" zoomScaleSheetLayoutView="100" workbookViewId="0">
      <selection activeCell="U26" sqref="U26:W26"/>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18.25" style="9" customWidth="1"/>
    <col min="25" max="25" width="2.25" style="9" customWidth="1"/>
    <col min="26" max="27" width="2.25" style="9" hidden="1" customWidth="1"/>
    <col min="28" max="28" width="80.625" style="120" customWidth="1"/>
    <col min="29" max="30" width="0" style="9" hidden="1" customWidth="1"/>
    <col min="31" max="16384" width="9" style="9"/>
  </cols>
  <sheetData>
    <row r="1" spans="1:28" ht="15.95" customHeight="1" thickBot="1">
      <c r="A1" s="1226" t="s">
        <v>1352</v>
      </c>
      <c r="B1" s="1226"/>
      <c r="C1" s="1226"/>
      <c r="D1" s="1226"/>
      <c r="E1" s="1226"/>
      <c r="F1" s="1226"/>
      <c r="G1" s="1226"/>
      <c r="H1" s="1226"/>
      <c r="I1" s="1226"/>
      <c r="J1" s="1226"/>
      <c r="K1" s="1226"/>
      <c r="L1" s="1226"/>
      <c r="M1" s="1226"/>
      <c r="N1" s="1226"/>
      <c r="O1" s="1226"/>
      <c r="P1" s="1226"/>
      <c r="Q1" s="1226"/>
      <c r="R1" s="1226"/>
      <c r="S1" s="1226"/>
      <c r="T1" s="1226"/>
      <c r="U1" s="1226"/>
      <c r="V1" s="1226"/>
      <c r="W1" s="1226"/>
      <c r="X1" s="1226"/>
      <c r="Y1" s="64"/>
      <c r="Z1" s="64"/>
      <c r="AA1" s="64"/>
    </row>
    <row r="2" spans="1:28" ht="24.95" customHeight="1" thickTop="1" thickBot="1">
      <c r="A2" s="1338" t="s">
        <v>1348</v>
      </c>
      <c r="B2" s="1338"/>
      <c r="C2" s="1338"/>
      <c r="D2" s="1338"/>
      <c r="E2" s="1338"/>
      <c r="F2" s="1338"/>
      <c r="G2" s="1338"/>
      <c r="H2" s="1338"/>
      <c r="I2" s="1338"/>
      <c r="J2" s="1338"/>
      <c r="K2" s="1338"/>
      <c r="L2" s="1338"/>
      <c r="M2" s="1338"/>
      <c r="N2" s="1338"/>
      <c r="O2" s="1338"/>
      <c r="P2" s="1338"/>
      <c r="Q2" s="1338"/>
      <c r="R2" s="1338"/>
      <c r="S2" s="1338"/>
      <c r="T2" s="1338"/>
      <c r="U2" s="1338"/>
      <c r="V2" s="1338"/>
      <c r="W2" s="1339"/>
      <c r="X2" s="533" t="str">
        <f>IF(COUNTIF(Z:Z,"×")=0,"入力済","未入力あり")</f>
        <v>入力済</v>
      </c>
      <c r="Y2" s="64"/>
      <c r="Z2" s="64"/>
      <c r="AA2" s="64"/>
    </row>
    <row r="3" spans="1:28" ht="5.0999999999999996" customHeight="1" thickTop="1">
      <c r="A3" s="581"/>
      <c r="B3" s="581"/>
      <c r="C3" s="581"/>
      <c r="D3" s="581"/>
      <c r="E3" s="581"/>
      <c r="F3" s="581"/>
      <c r="G3" s="581"/>
      <c r="H3" s="581"/>
      <c r="I3" s="581"/>
      <c r="J3" s="581"/>
      <c r="K3" s="581"/>
      <c r="L3" s="581"/>
      <c r="M3" s="581"/>
      <c r="N3" s="581"/>
      <c r="O3" s="581"/>
      <c r="P3" s="581"/>
      <c r="Q3" s="581"/>
      <c r="R3" s="581"/>
      <c r="S3" s="581"/>
      <c r="T3" s="581"/>
      <c r="U3" s="581"/>
      <c r="V3" s="581"/>
      <c r="W3" s="601"/>
      <c r="X3" s="581"/>
    </row>
    <row r="4" spans="1:28" ht="20.25" customHeight="1">
      <c r="A4" s="581"/>
      <c r="B4" s="581"/>
      <c r="C4" s="581"/>
      <c r="D4" s="581"/>
      <c r="E4" s="536" t="s">
        <v>1222</v>
      </c>
      <c r="F4" s="1340" t="str">
        <f>表紙!E2</f>
        <v>市立豊中病院</v>
      </c>
      <c r="G4" s="1340"/>
      <c r="H4" s="1340"/>
      <c r="I4" s="1340"/>
      <c r="J4" s="1340"/>
      <c r="K4" s="1340"/>
      <c r="L4" s="1340"/>
      <c r="M4" s="1341"/>
      <c r="N4" s="1341"/>
      <c r="O4" s="1341"/>
      <c r="P4" s="1341"/>
      <c r="Q4" s="1341"/>
      <c r="R4" s="1341"/>
      <c r="S4" s="1341"/>
      <c r="T4" s="1341"/>
      <c r="U4" s="1341"/>
      <c r="V4" s="1341"/>
      <c r="W4" s="1341"/>
      <c r="X4" s="1341"/>
      <c r="Y4" s="64"/>
      <c r="Z4" s="64"/>
      <c r="AA4" s="64"/>
    </row>
    <row r="5" spans="1:28" ht="20.100000000000001" customHeight="1" thickBot="1">
      <c r="A5" s="581"/>
      <c r="B5" s="581"/>
      <c r="C5" s="581"/>
      <c r="D5" s="581"/>
      <c r="E5" s="536" t="s">
        <v>1223</v>
      </c>
      <c r="F5" t="str">
        <f>+'事務局使用（発出時は非表示にすること）'!B3</f>
        <v>令和６年９月１日時点</v>
      </c>
      <c r="G5"/>
      <c r="H5"/>
      <c r="I5"/>
      <c r="J5"/>
      <c r="K5"/>
      <c r="L5"/>
      <c r="M5"/>
      <c r="N5"/>
      <c r="O5" s="532"/>
      <c r="P5" s="532"/>
      <c r="Q5" s="532"/>
      <c r="R5" s="532"/>
      <c r="S5" s="532"/>
      <c r="T5" s="532"/>
      <c r="U5" s="532"/>
      <c r="V5" s="532"/>
      <c r="W5" s="532"/>
      <c r="X5" s="532"/>
      <c r="Y5" s="602"/>
      <c r="Z5" s="602"/>
      <c r="AA5" s="602"/>
      <c r="AB5" s="188" t="s">
        <v>268</v>
      </c>
    </row>
    <row r="6" spans="1:28" ht="27" customHeight="1" thickBot="1">
      <c r="A6" s="603">
        <v>1</v>
      </c>
      <c r="B6" s="604" t="s">
        <v>1353</v>
      </c>
      <c r="C6" s="605"/>
      <c r="D6" s="605"/>
      <c r="E6" s="1103"/>
      <c r="F6" s="1103"/>
      <c r="G6" s="1103"/>
      <c r="H6" s="1103"/>
      <c r="I6" s="1103"/>
      <c r="J6" s="1103"/>
      <c r="K6" s="1103"/>
      <c r="L6" s="1103"/>
      <c r="M6" s="1103"/>
      <c r="N6" s="1103"/>
      <c r="O6" s="1103"/>
      <c r="P6" s="1103"/>
      <c r="Q6" s="1103"/>
      <c r="R6" s="1103"/>
      <c r="S6" s="1103"/>
      <c r="T6" s="1103"/>
      <c r="U6" s="1103"/>
      <c r="V6" s="1103"/>
      <c r="W6" s="1103"/>
      <c r="X6" s="40" t="s">
        <v>1936</v>
      </c>
      <c r="Z6" s="9" t="str">
        <f>IF(X6&lt;&gt;"","○","×")</f>
        <v>○</v>
      </c>
      <c r="AB6" s="175"/>
    </row>
    <row r="7" spans="1:28" ht="27" customHeight="1" thickBot="1">
      <c r="A7" s="603">
        <v>2</v>
      </c>
      <c r="B7" s="1342" t="s">
        <v>1354</v>
      </c>
      <c r="C7" s="1343"/>
      <c r="D7" s="1343"/>
      <c r="E7" s="1223" t="s">
        <v>1973</v>
      </c>
      <c r="F7" s="1300"/>
      <c r="G7" s="1300"/>
      <c r="H7" s="1300"/>
      <c r="I7" s="1300"/>
      <c r="J7" s="1300"/>
      <c r="K7" s="1300"/>
      <c r="L7" s="1300"/>
      <c r="M7" s="1300"/>
      <c r="N7" s="1300"/>
      <c r="O7" s="1300"/>
      <c r="P7" s="1300"/>
      <c r="Q7" s="1300"/>
      <c r="R7" s="1300"/>
      <c r="S7" s="1300"/>
      <c r="T7" s="1300"/>
      <c r="U7" s="1300"/>
      <c r="V7" s="1300"/>
      <c r="W7" s="1300"/>
      <c r="X7" s="1224"/>
      <c r="Z7" s="9" t="str">
        <f>IF(AND($X$6="はい",E7=""),"×","○")</f>
        <v>○</v>
      </c>
      <c r="AB7" s="87"/>
    </row>
    <row r="8" spans="1:28" ht="27" customHeight="1" thickBot="1">
      <c r="A8" s="603">
        <v>3</v>
      </c>
      <c r="B8" s="1332" t="s">
        <v>1355</v>
      </c>
      <c r="C8" s="1333"/>
      <c r="D8" s="1333"/>
      <c r="E8" s="1223" t="s">
        <v>1974</v>
      </c>
      <c r="F8" s="1300"/>
      <c r="G8" s="1300"/>
      <c r="H8" s="1300"/>
      <c r="I8" s="1300"/>
      <c r="J8" s="1300"/>
      <c r="K8" s="1300"/>
      <c r="L8" s="1300"/>
      <c r="M8" s="1300"/>
      <c r="N8" s="1300"/>
      <c r="O8" s="1300"/>
      <c r="P8" s="1300"/>
      <c r="Q8" s="1300"/>
      <c r="R8" s="1300"/>
      <c r="S8" s="1300"/>
      <c r="T8" s="1300"/>
      <c r="U8" s="1300"/>
      <c r="V8" s="1300"/>
      <c r="W8" s="1300"/>
      <c r="X8" s="1224"/>
      <c r="Z8" s="9" t="str">
        <f>IF(AND($X$6="はい",E8=""),"×","○")</f>
        <v>○</v>
      </c>
      <c r="AB8" s="87"/>
    </row>
    <row r="9" spans="1:28" ht="27" customHeight="1" thickBot="1">
      <c r="A9" s="603">
        <v>4</v>
      </c>
      <c r="B9" s="1334" t="s">
        <v>1356</v>
      </c>
      <c r="C9" s="1335"/>
      <c r="D9" s="1335"/>
      <c r="E9" s="1223" t="s">
        <v>1975</v>
      </c>
      <c r="F9" s="1300"/>
      <c r="G9" s="1300"/>
      <c r="H9" s="1300"/>
      <c r="I9" s="1300"/>
      <c r="J9" s="1300"/>
      <c r="K9" s="1300"/>
      <c r="L9" s="1300"/>
      <c r="M9" s="1300"/>
      <c r="N9" s="1300"/>
      <c r="O9" s="1300"/>
      <c r="P9" s="1300"/>
      <c r="Q9" s="1300"/>
      <c r="R9" s="1300"/>
      <c r="S9" s="1300"/>
      <c r="T9" s="1300"/>
      <c r="U9" s="1300"/>
      <c r="V9" s="1300"/>
      <c r="W9" s="1300"/>
      <c r="X9" s="1224"/>
      <c r="Z9" s="9" t="str">
        <f>IF(AND($X$6="はい",E9=""),"×","○")</f>
        <v>○</v>
      </c>
      <c r="AB9" s="87"/>
    </row>
    <row r="10" spans="1:28" ht="54" customHeight="1" thickBot="1">
      <c r="A10" s="603">
        <v>5</v>
      </c>
      <c r="B10" s="1336" t="s">
        <v>1357</v>
      </c>
      <c r="C10" s="1337"/>
      <c r="D10" s="1337"/>
      <c r="E10" s="1223" t="s">
        <v>1976</v>
      </c>
      <c r="F10" s="1300"/>
      <c r="G10" s="1300"/>
      <c r="H10" s="1300"/>
      <c r="I10" s="1300"/>
      <c r="J10" s="1300"/>
      <c r="K10" s="1300"/>
      <c r="L10" s="1300"/>
      <c r="M10" s="1300"/>
      <c r="N10" s="1300"/>
      <c r="O10" s="1300"/>
      <c r="P10" s="1300"/>
      <c r="Q10" s="1300"/>
      <c r="R10" s="1300"/>
      <c r="S10" s="1300"/>
      <c r="T10" s="1300"/>
      <c r="U10" s="1300"/>
      <c r="V10" s="1300"/>
      <c r="W10" s="1300"/>
      <c r="X10" s="1224"/>
      <c r="Z10" s="9" t="str">
        <f>IF(AND($X$6="はい",E10=""),"×","○")</f>
        <v>○</v>
      </c>
      <c r="AB10" s="87"/>
    </row>
    <row r="11" spans="1:28" ht="26.25" customHeight="1" thickBot="1">
      <c r="A11" s="1314">
        <v>6</v>
      </c>
      <c r="B11" s="1316" t="s">
        <v>1358</v>
      </c>
      <c r="C11" s="1317"/>
      <c r="D11" s="606" t="s">
        <v>1359</v>
      </c>
      <c r="E11" s="1320" t="s">
        <v>1977</v>
      </c>
      <c r="F11" s="1321"/>
      <c r="G11" s="1321"/>
      <c r="H11" s="1321"/>
      <c r="I11" s="1321"/>
      <c r="J11" s="1321"/>
      <c r="K11" s="1321"/>
      <c r="L11" s="1321"/>
      <c r="M11" s="1321"/>
      <c r="N11" s="1321"/>
      <c r="O11" s="1321"/>
      <c r="P11" s="1321"/>
      <c r="Q11" s="1321"/>
      <c r="R11" s="1321"/>
      <c r="S11" s="1321"/>
      <c r="T11" s="1321"/>
      <c r="U11" s="1321"/>
      <c r="V11" s="1321"/>
      <c r="W11" s="1321"/>
      <c r="X11" s="1322"/>
      <c r="AB11" s="87"/>
    </row>
    <row r="12" spans="1:28" ht="54" customHeight="1" thickBot="1">
      <c r="A12" s="1315"/>
      <c r="B12" s="1318"/>
      <c r="C12" s="1319"/>
      <c r="D12" s="607" t="s">
        <v>1360</v>
      </c>
      <c r="E12" s="1223" t="s">
        <v>1978</v>
      </c>
      <c r="F12" s="1300"/>
      <c r="G12" s="1300"/>
      <c r="H12" s="1300"/>
      <c r="I12" s="1300"/>
      <c r="J12" s="1300"/>
      <c r="K12" s="1300"/>
      <c r="L12" s="1300"/>
      <c r="M12" s="1300"/>
      <c r="N12" s="1300"/>
      <c r="O12" s="1300"/>
      <c r="P12" s="1300"/>
      <c r="Q12" s="1300"/>
      <c r="R12" s="1300"/>
      <c r="S12" s="1300"/>
      <c r="T12" s="1300"/>
      <c r="U12" s="1300"/>
      <c r="V12" s="1300"/>
      <c r="W12" s="1300"/>
      <c r="X12" s="1224"/>
      <c r="AB12" s="87"/>
    </row>
    <row r="13" spans="1:28" ht="24" customHeight="1" thickBot="1">
      <c r="A13" s="603">
        <v>7</v>
      </c>
      <c r="B13" s="608" t="s">
        <v>1361</v>
      </c>
      <c r="C13" s="609"/>
      <c r="D13" s="609"/>
      <c r="E13" s="610"/>
      <c r="F13" s="610"/>
      <c r="G13" s="610"/>
      <c r="H13" s="610"/>
      <c r="I13" s="610"/>
      <c r="J13" s="610"/>
      <c r="K13" s="610"/>
      <c r="L13" s="610"/>
      <c r="M13" s="610"/>
      <c r="N13" s="610"/>
      <c r="O13" s="610"/>
      <c r="P13" s="610"/>
      <c r="Q13" s="610"/>
      <c r="R13" s="610"/>
      <c r="S13" s="610"/>
      <c r="T13" s="610"/>
      <c r="U13" s="610"/>
      <c r="V13" s="610"/>
      <c r="W13" s="610"/>
      <c r="X13" s="40" t="s">
        <v>1936</v>
      </c>
      <c r="Z13" s="9" t="str">
        <f>IF(AND($X$6="はい",X13=""),"×","○")</f>
        <v>○</v>
      </c>
      <c r="AB13" s="87"/>
    </row>
    <row r="14" spans="1:28" ht="24" customHeight="1" thickBot="1">
      <c r="A14" s="1294">
        <v>8</v>
      </c>
      <c r="B14" s="1323" t="s">
        <v>1362</v>
      </c>
      <c r="C14" s="1324"/>
      <c r="D14" s="1324"/>
      <c r="E14" s="1325"/>
      <c r="F14" s="1325"/>
      <c r="G14" s="1325"/>
      <c r="H14" s="1325"/>
      <c r="I14" s="1325"/>
      <c r="J14" s="1325"/>
      <c r="K14" s="1325"/>
      <c r="L14" s="1325"/>
      <c r="M14" s="1325"/>
      <c r="N14" s="1325"/>
      <c r="O14" s="1325"/>
      <c r="P14" s="1325"/>
      <c r="Q14" s="1325"/>
      <c r="R14" s="1325"/>
      <c r="S14" s="1325"/>
      <c r="T14" s="1325"/>
      <c r="U14" s="1325"/>
      <c r="V14" s="1325"/>
      <c r="W14" s="1325"/>
      <c r="X14" s="42" t="s">
        <v>1936</v>
      </c>
      <c r="Z14" s="9" t="str">
        <f>IF(AND($X$6="はい",X14=""),"×","○")</f>
        <v>○</v>
      </c>
      <c r="AB14" s="87"/>
    </row>
    <row r="15" spans="1:28" ht="24" customHeight="1" thickBot="1">
      <c r="A15" s="1295"/>
      <c r="B15" s="1297" t="s">
        <v>1363</v>
      </c>
      <c r="C15" s="1298"/>
      <c r="D15" s="1298"/>
      <c r="E15" s="1223" t="s">
        <v>1973</v>
      </c>
      <c r="F15" s="1300"/>
      <c r="G15" s="1300"/>
      <c r="H15" s="1300"/>
      <c r="I15" s="1300"/>
      <c r="J15" s="1300"/>
      <c r="K15" s="1300"/>
      <c r="L15" s="1300"/>
      <c r="M15" s="1300"/>
      <c r="N15" s="1300"/>
      <c r="O15" s="1300"/>
      <c r="P15" s="1300"/>
      <c r="Q15" s="1300"/>
      <c r="R15" s="1300"/>
      <c r="S15" s="1300"/>
      <c r="T15" s="1300"/>
      <c r="U15" s="1300"/>
      <c r="V15" s="1300"/>
      <c r="W15" s="1300"/>
      <c r="X15" s="1224"/>
      <c r="Z15" s="9" t="str">
        <f>IF(AND($X$14="はい",E15=""),"×","○")</f>
        <v>○</v>
      </c>
      <c r="AB15" s="87"/>
    </row>
    <row r="16" spans="1:28" ht="24" customHeight="1" thickBot="1">
      <c r="A16" s="1296"/>
      <c r="B16" s="1301" t="s">
        <v>1364</v>
      </c>
      <c r="C16" s="1302"/>
      <c r="D16" s="1303"/>
      <c r="E16" s="1326" t="s">
        <v>1979</v>
      </c>
      <c r="F16" s="1327"/>
      <c r="G16" s="1327"/>
      <c r="H16" s="1327"/>
      <c r="I16" s="1327"/>
      <c r="J16" s="1327"/>
      <c r="K16" s="1327"/>
      <c r="L16" s="1327"/>
      <c r="M16" s="1327"/>
      <c r="N16" s="1328"/>
      <c r="O16" s="1329" t="s">
        <v>1365</v>
      </c>
      <c r="P16" s="1330"/>
      <c r="Q16" s="1331"/>
      <c r="R16" s="1311"/>
      <c r="S16" s="1312"/>
      <c r="T16" s="1312"/>
      <c r="U16" s="1312"/>
      <c r="V16" s="1312"/>
      <c r="W16" s="1312"/>
      <c r="X16" s="1313"/>
      <c r="Z16" s="9" t="str">
        <f>IF(AND($X$14="はい",E16=""),"×","○")</f>
        <v>○</v>
      </c>
      <c r="AB16" s="87"/>
    </row>
    <row r="17" spans="1:30" ht="24" customHeight="1" thickBot="1">
      <c r="A17" s="1294">
        <v>9</v>
      </c>
      <c r="B17" s="611" t="s">
        <v>1366</v>
      </c>
      <c r="C17" s="612"/>
      <c r="D17" s="612"/>
      <c r="E17" s="613"/>
      <c r="F17" s="613"/>
      <c r="G17" s="613"/>
      <c r="H17" s="613"/>
      <c r="I17" s="613"/>
      <c r="J17" s="613"/>
      <c r="K17" s="613"/>
      <c r="L17" s="613"/>
      <c r="M17" s="613"/>
      <c r="N17" s="613"/>
      <c r="O17" s="613"/>
      <c r="P17" s="613"/>
      <c r="Q17" s="613"/>
      <c r="R17" s="613"/>
      <c r="S17" s="613"/>
      <c r="T17" s="613"/>
      <c r="U17" s="613"/>
      <c r="V17" s="613"/>
      <c r="W17" s="613"/>
      <c r="X17" s="40" t="s">
        <v>1936</v>
      </c>
      <c r="Z17" s="9" t="str">
        <f>IF(AND($X$6="はい",X17=""),"×","○")</f>
        <v>○</v>
      </c>
      <c r="AB17" s="87"/>
    </row>
    <row r="18" spans="1:30" ht="24" customHeight="1" thickBot="1">
      <c r="A18" s="1295"/>
      <c r="B18" s="1297" t="s">
        <v>1363</v>
      </c>
      <c r="C18" s="1298"/>
      <c r="D18" s="1299"/>
      <c r="E18" s="1223" t="s">
        <v>1980</v>
      </c>
      <c r="F18" s="1300"/>
      <c r="G18" s="1300"/>
      <c r="H18" s="1300"/>
      <c r="I18" s="1300"/>
      <c r="J18" s="1300"/>
      <c r="K18" s="1300"/>
      <c r="L18" s="1300"/>
      <c r="M18" s="1300"/>
      <c r="N18" s="1300"/>
      <c r="O18" s="1300"/>
      <c r="P18" s="1300"/>
      <c r="Q18" s="1300"/>
      <c r="R18" s="1300"/>
      <c r="S18" s="1300"/>
      <c r="T18" s="1300"/>
      <c r="U18" s="1300"/>
      <c r="V18" s="1300"/>
      <c r="W18" s="1300"/>
      <c r="X18" s="1224"/>
      <c r="Z18" s="9" t="str">
        <f>IF(AND($X$17="はい",E18=""),"×","○")</f>
        <v>○</v>
      </c>
      <c r="AB18" s="87"/>
    </row>
    <row r="19" spans="1:30" ht="24" customHeight="1" thickBot="1">
      <c r="A19" s="1295"/>
      <c r="B19" s="1301" t="s">
        <v>1364</v>
      </c>
      <c r="C19" s="1302"/>
      <c r="D19" s="1303"/>
      <c r="E19" s="1304" t="s">
        <v>1979</v>
      </c>
      <c r="F19" s="1305"/>
      <c r="G19" s="1305"/>
      <c r="H19" s="1305"/>
      <c r="I19" s="1305"/>
      <c r="J19" s="1305"/>
      <c r="K19" s="1305"/>
      <c r="L19" s="1305"/>
      <c r="M19" s="1305"/>
      <c r="N19" s="1306"/>
      <c r="O19" s="1307" t="s">
        <v>1365</v>
      </c>
      <c r="P19" s="1307"/>
      <c r="Q19" s="1307"/>
      <c r="R19" s="1311"/>
      <c r="S19" s="1312"/>
      <c r="T19" s="1312"/>
      <c r="U19" s="1312"/>
      <c r="V19" s="1312"/>
      <c r="W19" s="1312"/>
      <c r="X19" s="1313"/>
      <c r="Z19" s="9" t="str">
        <f>IF(AND($X$17="はい",E19=""),"×","○")</f>
        <v>○</v>
      </c>
      <c r="AB19" s="87"/>
    </row>
    <row r="20" spans="1:30" ht="24" customHeight="1" thickBot="1">
      <c r="A20" s="1296"/>
      <c r="B20" s="1308" t="s">
        <v>1367</v>
      </c>
      <c r="C20" s="1309"/>
      <c r="D20" s="1310"/>
      <c r="E20" s="1223" t="s">
        <v>1937</v>
      </c>
      <c r="F20" s="1300"/>
      <c r="G20" s="1300"/>
      <c r="H20" s="1300"/>
      <c r="I20" s="1300"/>
      <c r="J20" s="1300"/>
      <c r="K20" s="1300"/>
      <c r="L20" s="1300"/>
      <c r="M20" s="1300"/>
      <c r="N20" s="1300"/>
      <c r="O20" s="1300"/>
      <c r="P20" s="1300"/>
      <c r="Q20" s="1300"/>
      <c r="R20" s="1300"/>
      <c r="S20" s="1300"/>
      <c r="T20" s="1300"/>
      <c r="U20" s="1300"/>
      <c r="V20" s="1300"/>
      <c r="W20" s="1300"/>
      <c r="X20" s="1224"/>
      <c r="AB20" s="87"/>
    </row>
    <row r="21" spans="1:30" ht="24" customHeight="1">
      <c r="A21" s="1288">
        <v>10</v>
      </c>
      <c r="B21" s="1105"/>
      <c r="C21" s="1106"/>
      <c r="D21" s="1107"/>
      <c r="E21" s="614" t="s">
        <v>1368</v>
      </c>
      <c r="F21" s="615"/>
      <c r="G21" s="615"/>
      <c r="H21" s="615"/>
      <c r="I21" s="615"/>
      <c r="J21" s="615"/>
      <c r="K21" s="615"/>
      <c r="L21" s="615"/>
      <c r="M21" s="615"/>
      <c r="N21" s="615"/>
      <c r="O21" s="615"/>
      <c r="P21" s="615"/>
      <c r="Q21" s="615"/>
      <c r="R21" s="615"/>
      <c r="S21" s="615"/>
      <c r="T21" s="615"/>
      <c r="U21" s="615"/>
      <c r="V21" s="615"/>
      <c r="W21" s="615"/>
      <c r="X21" s="616"/>
      <c r="AB21" s="87"/>
    </row>
    <row r="22" spans="1:30" ht="24" customHeight="1" thickBot="1">
      <c r="A22" s="1289"/>
      <c r="B22" s="1012"/>
      <c r="C22" s="617"/>
      <c r="D22" s="618"/>
      <c r="E22" s="619" t="s">
        <v>1369</v>
      </c>
      <c r="F22" s="620"/>
      <c r="G22" s="620"/>
      <c r="H22" s="620"/>
      <c r="I22" s="620"/>
      <c r="J22" s="620"/>
      <c r="K22" s="620"/>
      <c r="L22" s="620"/>
      <c r="M22" s="620"/>
      <c r="N22" s="620"/>
      <c r="O22" s="620"/>
      <c r="P22" s="620"/>
      <c r="Q22" s="620"/>
      <c r="R22" s="620"/>
      <c r="S22" s="620"/>
      <c r="T22" s="621"/>
      <c r="U22" s="1291">
        <v>33</v>
      </c>
      <c r="V22" s="1292"/>
      <c r="W22" s="1293"/>
      <c r="X22" s="622" t="s">
        <v>422</v>
      </c>
      <c r="Y22" s="623"/>
      <c r="Z22" s="9" t="str">
        <f>IF(AND($X$6="はい",U22=""),"×","○")</f>
        <v>○</v>
      </c>
      <c r="AB22" s="87"/>
      <c r="AC22" s="624">
        <v>0</v>
      </c>
      <c r="AD22" s="624">
        <v>330</v>
      </c>
    </row>
    <row r="23" spans="1:30" ht="24" customHeight="1" thickBot="1">
      <c r="A23" s="1289"/>
      <c r="B23" s="1012" t="s">
        <v>215</v>
      </c>
      <c r="C23" s="617"/>
      <c r="D23" s="618"/>
      <c r="E23" s="625" t="s">
        <v>1370</v>
      </c>
      <c r="F23" s="626"/>
      <c r="G23" s="626"/>
      <c r="H23" s="626"/>
      <c r="I23" s="626"/>
      <c r="J23" s="626"/>
      <c r="K23" s="626"/>
      <c r="L23" s="626"/>
      <c r="M23" s="626"/>
      <c r="N23" s="626"/>
      <c r="O23" s="626"/>
      <c r="P23" s="626"/>
      <c r="Q23" s="626"/>
      <c r="R23" s="626"/>
      <c r="S23" s="626"/>
      <c r="T23" s="627"/>
      <c r="U23" s="1291">
        <v>219</v>
      </c>
      <c r="V23" s="1292"/>
      <c r="W23" s="1293"/>
      <c r="X23" s="622" t="s">
        <v>422</v>
      </c>
      <c r="Z23" s="9" t="str">
        <f>IF(AND($X$6="はい",U23=""),"×","○")</f>
        <v>○</v>
      </c>
      <c r="AB23" s="87"/>
      <c r="AC23" s="624">
        <v>0</v>
      </c>
      <c r="AD23" s="624">
        <v>2400</v>
      </c>
    </row>
    <row r="24" spans="1:30" ht="24" customHeight="1">
      <c r="A24" s="1289"/>
      <c r="B24" s="1013" t="str">
        <f>+"期間："&amp;'事務局使用（発出時は非表示にすること）'!B4</f>
        <v>期間：令和５年１月１日～12月31日</v>
      </c>
      <c r="C24" s="617"/>
      <c r="D24" s="618"/>
      <c r="E24" s="614" t="s">
        <v>1371</v>
      </c>
      <c r="F24" s="615"/>
      <c r="G24" s="615"/>
      <c r="H24" s="615"/>
      <c r="I24" s="615"/>
      <c r="J24" s="615"/>
      <c r="K24" s="615"/>
      <c r="L24" s="615"/>
      <c r="M24" s="615"/>
      <c r="N24" s="615"/>
      <c r="O24" s="615"/>
      <c r="P24" s="615"/>
      <c r="Q24" s="615"/>
      <c r="R24" s="615"/>
      <c r="S24" s="615"/>
      <c r="T24" s="615"/>
      <c r="U24" s="615"/>
      <c r="V24" s="615"/>
      <c r="W24" s="615"/>
      <c r="X24" s="628"/>
      <c r="AB24" s="87"/>
    </row>
    <row r="25" spans="1:30" ht="24" customHeight="1" thickBot="1">
      <c r="A25" s="1289"/>
      <c r="B25" s="1012"/>
      <c r="C25" s="617"/>
      <c r="D25" s="618"/>
      <c r="E25" s="629" t="s">
        <v>1372</v>
      </c>
      <c r="F25" s="630"/>
      <c r="G25" s="630"/>
      <c r="H25" s="630"/>
      <c r="I25" s="630"/>
      <c r="J25" s="630"/>
      <c r="K25" s="630"/>
      <c r="L25" s="630"/>
      <c r="M25" s="630"/>
      <c r="N25" s="630"/>
      <c r="O25" s="630"/>
      <c r="P25" s="630"/>
      <c r="Q25" s="630"/>
      <c r="R25" s="630"/>
      <c r="S25" s="630"/>
      <c r="T25" s="631"/>
      <c r="U25" s="1291">
        <v>0</v>
      </c>
      <c r="V25" s="1292"/>
      <c r="W25" s="1293"/>
      <c r="X25" s="622" t="s">
        <v>422</v>
      </c>
      <c r="Z25" s="9" t="str">
        <f t="shared" ref="Z25:Z26" si="0">IF(AND($X$6="はい",U25=""),"×","○")</f>
        <v>○</v>
      </c>
      <c r="AB25" s="87"/>
      <c r="AC25" s="624">
        <v>0</v>
      </c>
      <c r="AD25" s="632">
        <v>500</v>
      </c>
    </row>
    <row r="26" spans="1:30" ht="24" customHeight="1" thickBot="1">
      <c r="A26" s="1290"/>
      <c r="B26" s="633"/>
      <c r="C26" s="634"/>
      <c r="D26" s="635"/>
      <c r="E26" s="625" t="s">
        <v>1373</v>
      </c>
      <c r="F26" s="636"/>
      <c r="G26" s="636"/>
      <c r="H26" s="636"/>
      <c r="I26" s="636"/>
      <c r="J26" s="636"/>
      <c r="K26" s="636"/>
      <c r="L26" s="636"/>
      <c r="M26" s="636"/>
      <c r="N26" s="636"/>
      <c r="O26" s="636"/>
      <c r="P26" s="636"/>
      <c r="Q26" s="636"/>
      <c r="R26" s="636"/>
      <c r="S26" s="636"/>
      <c r="T26" s="637"/>
      <c r="U26" s="1291">
        <v>0</v>
      </c>
      <c r="V26" s="1292"/>
      <c r="W26" s="1293"/>
      <c r="X26" s="638" t="s">
        <v>422</v>
      </c>
      <c r="Z26" s="9" t="str">
        <f t="shared" si="0"/>
        <v>○</v>
      </c>
      <c r="AB26" s="160"/>
      <c r="AC26" s="624">
        <v>0</v>
      </c>
      <c r="AD26" s="632">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10"/>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9" style="9"/>
    <col min="26" max="26" width="2.25" style="9" customWidth="1"/>
    <col min="27" max="28" width="2.25" style="9" hidden="1" customWidth="1"/>
    <col min="29" max="29" width="80.625" style="602" customWidth="1"/>
    <col min="30" max="31" width="0" style="9" hidden="1" customWidth="1"/>
    <col min="32" max="16384" width="9" style="9"/>
  </cols>
  <sheetData>
    <row r="1" spans="1:31" ht="15.95" customHeight="1" thickBot="1">
      <c r="A1" s="1226" t="s">
        <v>1374</v>
      </c>
      <c r="B1" s="1226"/>
      <c r="C1" s="1226"/>
      <c r="D1" s="1226"/>
      <c r="E1" s="1226"/>
      <c r="F1" s="1226"/>
      <c r="G1" s="1226"/>
      <c r="H1" s="1226"/>
      <c r="I1" s="1226"/>
      <c r="J1" s="1226"/>
      <c r="K1" s="1226"/>
      <c r="L1" s="1226"/>
      <c r="M1" s="1226"/>
      <c r="N1" s="1226"/>
      <c r="O1" s="1226"/>
      <c r="P1" s="1226"/>
      <c r="Q1" s="1226"/>
      <c r="R1" s="1226"/>
      <c r="S1" s="1226"/>
      <c r="T1" s="1226"/>
      <c r="U1" s="1226"/>
      <c r="V1" s="1226"/>
      <c r="W1" s="1226"/>
      <c r="X1" s="1226"/>
      <c r="Y1" s="1226"/>
      <c r="Z1" s="64"/>
      <c r="AA1" s="109"/>
      <c r="AB1" s="64"/>
      <c r="AC1" s="18"/>
    </row>
    <row r="2" spans="1:31" ht="24.95" customHeight="1" thickTop="1" thickBot="1">
      <c r="A2" s="1338" t="s">
        <v>1348</v>
      </c>
      <c r="B2" s="1338"/>
      <c r="C2" s="1338"/>
      <c r="D2" s="1338"/>
      <c r="E2" s="1338"/>
      <c r="F2" s="1338"/>
      <c r="G2" s="1338"/>
      <c r="H2" s="1338"/>
      <c r="I2" s="1338"/>
      <c r="J2" s="1338"/>
      <c r="K2" s="1338"/>
      <c r="L2" s="1338"/>
      <c r="M2" s="1338"/>
      <c r="N2" s="1338"/>
      <c r="O2" s="1338"/>
      <c r="P2" s="1338"/>
      <c r="Q2" s="1338"/>
      <c r="R2" s="1338"/>
      <c r="S2" s="1338"/>
      <c r="T2" s="1338"/>
      <c r="U2" s="1338"/>
      <c r="V2" s="1338"/>
      <c r="W2" s="1338"/>
      <c r="X2" s="1339"/>
      <c r="Y2" s="533" t="str">
        <f>IF(COUNTIF(AA:AA,"×")=0,"入力済","未入力あり")</f>
        <v>入力済</v>
      </c>
      <c r="Z2" s="64"/>
      <c r="AA2" s="109"/>
      <c r="AB2" s="64"/>
    </row>
    <row r="3" spans="1:31" ht="5.0999999999999996" customHeight="1" thickTop="1">
      <c r="A3" s="581"/>
      <c r="B3" s="581"/>
      <c r="C3" s="581"/>
      <c r="D3" s="581"/>
      <c r="E3" s="581"/>
      <c r="F3" s="581"/>
      <c r="G3" s="581"/>
      <c r="H3" s="581"/>
      <c r="I3" s="581"/>
      <c r="J3" s="581"/>
      <c r="K3" s="581"/>
      <c r="L3" s="581"/>
      <c r="M3" s="581"/>
      <c r="N3" s="581"/>
      <c r="O3" s="581"/>
      <c r="P3" s="581"/>
      <c r="Q3" s="581"/>
      <c r="R3" s="581"/>
      <c r="S3" s="581"/>
      <c r="T3" s="581"/>
      <c r="U3" s="581"/>
      <c r="V3" s="581"/>
      <c r="W3" s="581"/>
      <c r="X3" s="581"/>
      <c r="Y3" s="601"/>
    </row>
    <row r="4" spans="1:31" ht="20.25" customHeight="1">
      <c r="A4" s="581"/>
      <c r="B4" s="581"/>
      <c r="C4" s="581"/>
      <c r="D4" s="581"/>
      <c r="E4" s="581"/>
      <c r="F4" s="536" t="s">
        <v>1222</v>
      </c>
      <c r="G4" s="1436" t="str">
        <f>表紙!E2</f>
        <v>市立豊中病院</v>
      </c>
      <c r="H4" s="1437"/>
      <c r="I4" s="1437"/>
      <c r="J4" s="1437"/>
      <c r="K4" s="1437"/>
      <c r="L4" s="1437"/>
      <c r="M4" s="1437"/>
      <c r="N4" s="1437"/>
      <c r="O4" s="1437"/>
      <c r="P4" s="1437"/>
      <c r="Q4" s="1437"/>
      <c r="R4" s="1437"/>
      <c r="S4" s="1437"/>
      <c r="T4" s="1437"/>
      <c r="U4" s="1437"/>
      <c r="V4" s="1437"/>
      <c r="W4" s="1437"/>
      <c r="X4" s="1437"/>
      <c r="Y4" s="1438"/>
      <c r="Z4" s="64"/>
      <c r="AA4" s="109"/>
      <c r="AB4" s="64"/>
    </row>
    <row r="5" spans="1:31" ht="15.75" customHeight="1">
      <c r="A5" s="581"/>
      <c r="B5" s="581"/>
      <c r="C5" s="581"/>
      <c r="D5" s="581"/>
      <c r="E5" s="581"/>
      <c r="F5" s="536" t="s">
        <v>1223</v>
      </c>
      <c r="G5" t="str">
        <f>+'事務局使用（発出時は非表示にすること）'!B3</f>
        <v>令和６年９月１日時点</v>
      </c>
      <c r="H5"/>
      <c r="I5"/>
      <c r="J5"/>
      <c r="K5"/>
      <c r="L5"/>
      <c r="M5"/>
      <c r="N5" s="639"/>
      <c r="O5" s="639"/>
      <c r="P5" s="639"/>
      <c r="Q5" s="639"/>
      <c r="R5" s="640"/>
      <c r="S5" s="640"/>
      <c r="T5" s="640"/>
      <c r="U5" s="640"/>
      <c r="V5" s="640"/>
      <c r="W5" s="640"/>
      <c r="X5" s="640"/>
      <c r="Y5" s="176"/>
      <c r="Z5" s="602"/>
      <c r="AA5" s="602"/>
      <c r="AB5" s="602"/>
      <c r="AC5" s="597" t="s">
        <v>268</v>
      </c>
    </row>
    <row r="6" spans="1:31" ht="20.100000000000001" customHeight="1" thickBot="1">
      <c r="A6" s="581"/>
      <c r="B6" s="581" t="s">
        <v>1375</v>
      </c>
      <c r="C6" s="581"/>
      <c r="D6" s="581"/>
      <c r="E6" s="581"/>
      <c r="F6" s="581"/>
      <c r="G6" s="581"/>
      <c r="H6" s="581"/>
      <c r="I6" s="581"/>
      <c r="J6" s="581"/>
      <c r="K6" s="581"/>
      <c r="L6" s="581"/>
      <c r="M6" s="581"/>
      <c r="N6" s="581"/>
      <c r="O6" s="581"/>
      <c r="P6" s="581"/>
      <c r="Q6" s="581"/>
      <c r="R6" s="581"/>
      <c r="S6" s="581"/>
      <c r="T6" s="581"/>
      <c r="U6" s="581"/>
      <c r="V6" s="581"/>
      <c r="W6" s="581"/>
      <c r="X6" s="581"/>
      <c r="Y6" s="581"/>
      <c r="AC6" s="176"/>
    </row>
    <row r="7" spans="1:31" ht="18" customHeight="1" thickBot="1">
      <c r="A7" s="642">
        <v>1</v>
      </c>
      <c r="B7" s="1428" t="s">
        <v>1376</v>
      </c>
      <c r="C7" s="1429"/>
      <c r="D7" s="1429"/>
      <c r="E7" s="1429"/>
      <c r="F7" s="1430" t="s">
        <v>1981</v>
      </c>
      <c r="G7" s="1431"/>
      <c r="H7" s="1431"/>
      <c r="I7" s="1431"/>
      <c r="J7" s="1431"/>
      <c r="K7" s="1431"/>
      <c r="L7" s="1431"/>
      <c r="M7" s="1431"/>
      <c r="N7" s="1431"/>
      <c r="O7" s="1432"/>
      <c r="P7" s="1108"/>
      <c r="Q7" s="1108"/>
      <c r="R7" s="1108"/>
      <c r="S7" s="1108"/>
      <c r="T7" s="1108"/>
      <c r="U7" s="1108"/>
      <c r="V7" s="1108"/>
      <c r="W7" s="1108"/>
      <c r="X7" s="1108"/>
      <c r="Y7" s="1109"/>
      <c r="AA7" s="570" t="str">
        <f>IF($F$7&lt;&gt;"","○","×")</f>
        <v>○</v>
      </c>
      <c r="AB7" s="570"/>
      <c r="AC7" s="176"/>
    </row>
    <row r="8" spans="1:31" ht="18" customHeight="1" thickBot="1">
      <c r="A8" s="642">
        <v>2</v>
      </c>
      <c r="B8" s="1428" t="s">
        <v>1377</v>
      </c>
      <c r="C8" s="1429"/>
      <c r="D8" s="1429"/>
      <c r="E8" s="1429"/>
      <c r="F8" s="1433"/>
      <c r="G8" s="1434"/>
      <c r="H8" s="1434"/>
      <c r="I8" s="1434"/>
      <c r="J8" s="1434"/>
      <c r="K8" s="1434"/>
      <c r="L8" s="1434"/>
      <c r="M8" s="1434"/>
      <c r="N8" s="1434"/>
      <c r="O8" s="1435"/>
      <c r="P8" s="532"/>
      <c r="Q8" s="532"/>
      <c r="R8" s="532"/>
      <c r="S8" s="532"/>
      <c r="T8" s="532"/>
      <c r="U8" s="532"/>
      <c r="V8" s="532"/>
      <c r="W8" s="532"/>
      <c r="X8" s="532"/>
      <c r="Y8" s="643"/>
      <c r="AA8" s="570" t="str">
        <f>IF(AND($F$7="病棟があります",F8=""),"×","○")</f>
        <v>○</v>
      </c>
      <c r="AB8" s="570"/>
      <c r="AC8" s="176"/>
    </row>
    <row r="9" spans="1:31" ht="18" customHeight="1" thickBot="1">
      <c r="A9" s="642">
        <v>3</v>
      </c>
      <c r="B9" s="1428" t="s">
        <v>1378</v>
      </c>
      <c r="C9" s="1429"/>
      <c r="D9" s="1429"/>
      <c r="E9" s="1429"/>
      <c r="F9" s="1430"/>
      <c r="G9" s="1431"/>
      <c r="H9" s="1431"/>
      <c r="I9" s="1431"/>
      <c r="J9" s="1431"/>
      <c r="K9" s="1431"/>
      <c r="L9" s="1431"/>
      <c r="M9" s="1431"/>
      <c r="N9" s="1431"/>
      <c r="O9" s="1432"/>
      <c r="P9" s="532"/>
      <c r="Q9" s="532"/>
      <c r="R9" s="532"/>
      <c r="S9" s="532"/>
      <c r="T9" s="532"/>
      <c r="U9" s="532"/>
      <c r="V9" s="532"/>
      <c r="W9" s="532"/>
      <c r="X9" s="532"/>
      <c r="Y9" s="643"/>
      <c r="AA9" s="570" t="str">
        <f t="shared" ref="AA9:AA10" si="0">IF(AND($F$7="病棟があります",F9=""),"×","○")</f>
        <v>○</v>
      </c>
      <c r="AB9" s="570"/>
      <c r="AC9" s="176"/>
    </row>
    <row r="10" spans="1:31" ht="18" customHeight="1" thickBot="1">
      <c r="A10" s="642">
        <v>4</v>
      </c>
      <c r="B10" s="1428" t="s">
        <v>1379</v>
      </c>
      <c r="C10" s="1429"/>
      <c r="D10" s="1429"/>
      <c r="E10" s="1429"/>
      <c r="F10" s="335"/>
      <c r="G10" s="644" t="s">
        <v>1380</v>
      </c>
      <c r="H10" s="532"/>
      <c r="I10" s="532"/>
      <c r="J10" s="532"/>
      <c r="K10" s="532"/>
      <c r="L10" s="532"/>
      <c r="M10" s="532"/>
      <c r="N10" s="532"/>
      <c r="O10" s="532"/>
      <c r="P10" s="532"/>
      <c r="Q10" s="532"/>
      <c r="R10" s="532"/>
      <c r="S10" s="532"/>
      <c r="T10" s="532"/>
      <c r="U10" s="532"/>
      <c r="V10" s="532"/>
      <c r="W10" s="532"/>
      <c r="X10" s="532"/>
      <c r="Y10" s="643"/>
      <c r="Z10" s="580"/>
      <c r="AA10" s="570" t="str">
        <f t="shared" si="0"/>
        <v>○</v>
      </c>
      <c r="AB10" s="570"/>
      <c r="AC10" s="176"/>
      <c r="AD10" s="624">
        <v>0</v>
      </c>
      <c r="AE10" s="624">
        <v>40</v>
      </c>
    </row>
    <row r="11" spans="1:31" ht="18" customHeight="1" thickBot="1">
      <c r="A11" s="1415">
        <v>5</v>
      </c>
      <c r="B11" s="1416" t="s">
        <v>1381</v>
      </c>
      <c r="C11" s="1416"/>
      <c r="D11" s="1416"/>
      <c r="E11" s="1416"/>
      <c r="F11" s="1416"/>
      <c r="G11" s="1417"/>
      <c r="H11" s="1416"/>
      <c r="I11" s="1416"/>
      <c r="J11" s="1416"/>
      <c r="K11" s="1416"/>
      <c r="L11" s="1416"/>
      <c r="M11" s="1416"/>
      <c r="N11" s="1416"/>
      <c r="O11" s="1416"/>
      <c r="P11" s="1416"/>
      <c r="Q11" s="1416"/>
      <c r="R11" s="1416"/>
      <c r="S11" s="1416"/>
      <c r="T11" s="1416"/>
      <c r="U11" s="1416"/>
      <c r="V11" s="1418"/>
      <c r="W11" s="1426"/>
      <c r="X11" s="1427"/>
      <c r="Y11" s="622" t="s">
        <v>1382</v>
      </c>
      <c r="Z11" s="645"/>
      <c r="AA11" s="570" t="str">
        <f>IF(AND($F$7="病棟があります",W11=""),"×","○")</f>
        <v>○</v>
      </c>
      <c r="AB11" s="570"/>
      <c r="AC11" s="176"/>
      <c r="AD11" s="646">
        <v>0</v>
      </c>
      <c r="AE11" s="624">
        <v>40</v>
      </c>
    </row>
    <row r="12" spans="1:31" ht="18" customHeight="1" thickBot="1">
      <c r="A12" s="1415"/>
      <c r="B12" s="1416" t="str">
        <f>+"緩和ケア病棟の年間新入院患者数（"&amp;'事務局使用（発出時は非表示にすること）'!B4&amp;"）"</f>
        <v>緩和ケア病棟の年間新入院患者数（令和５年１月１日～12月31日）</v>
      </c>
      <c r="C12" s="1416"/>
      <c r="D12" s="1416"/>
      <c r="E12" s="1416"/>
      <c r="F12" s="1416"/>
      <c r="G12" s="1416"/>
      <c r="H12" s="1416"/>
      <c r="I12" s="1416"/>
      <c r="J12" s="1416"/>
      <c r="K12" s="1416"/>
      <c r="L12" s="1416"/>
      <c r="M12" s="1416"/>
      <c r="N12" s="1416"/>
      <c r="O12" s="1416"/>
      <c r="P12" s="1416"/>
      <c r="Q12" s="1416"/>
      <c r="R12" s="1416"/>
      <c r="S12" s="1416"/>
      <c r="T12" s="1416"/>
      <c r="U12" s="1416"/>
      <c r="V12" s="1418"/>
      <c r="W12" s="1426"/>
      <c r="X12" s="1427"/>
      <c r="Y12" s="622" t="s">
        <v>305</v>
      </c>
      <c r="Z12" s="555"/>
      <c r="AA12" s="570" t="str">
        <f t="shared" ref="AA12:AA13" si="1">IF(AND($F$7="病棟があります",W12=""),"×","○")</f>
        <v>○</v>
      </c>
      <c r="AB12" s="570"/>
      <c r="AC12" s="176"/>
      <c r="AD12" s="646">
        <v>0</v>
      </c>
      <c r="AE12" s="624">
        <v>500</v>
      </c>
    </row>
    <row r="13" spans="1:31" ht="18" customHeight="1" thickBot="1">
      <c r="A13" s="1415"/>
      <c r="B13" s="1416" t="str">
        <f>+"緩和ケア病棟の年間死亡患者数（"&amp;'事務局使用（発出時は非表示にすること）'!B4&amp;"）"</f>
        <v>緩和ケア病棟の年間死亡患者数（令和５年１月１日～12月31日）</v>
      </c>
      <c r="C13" s="1416"/>
      <c r="D13" s="1416"/>
      <c r="E13" s="1416"/>
      <c r="F13" s="1416"/>
      <c r="G13" s="1424"/>
      <c r="H13" s="1424"/>
      <c r="I13" s="1424"/>
      <c r="J13" s="1424"/>
      <c r="K13" s="1424"/>
      <c r="L13" s="1424"/>
      <c r="M13" s="1424"/>
      <c r="N13" s="1424"/>
      <c r="O13" s="1424"/>
      <c r="P13" s="1424"/>
      <c r="Q13" s="1424"/>
      <c r="R13" s="1424"/>
      <c r="S13" s="1424"/>
      <c r="T13" s="1424"/>
      <c r="U13" s="1424"/>
      <c r="V13" s="1425"/>
      <c r="W13" s="1426"/>
      <c r="X13" s="1427"/>
      <c r="Y13" s="647" t="s">
        <v>305</v>
      </c>
      <c r="Z13" s="555"/>
      <c r="AA13" s="570" t="str">
        <f t="shared" si="1"/>
        <v>○</v>
      </c>
      <c r="AB13" s="570"/>
      <c r="AC13" s="176"/>
      <c r="AD13" s="646">
        <v>0</v>
      </c>
      <c r="AE13" s="624">
        <v>400</v>
      </c>
    </row>
    <row r="14" spans="1:31" ht="18" customHeight="1" thickBot="1">
      <c r="A14" s="1404">
        <v>6</v>
      </c>
      <c r="B14" s="1345" t="s">
        <v>1383</v>
      </c>
      <c r="C14" s="1361"/>
      <c r="D14" s="1361"/>
      <c r="E14" s="1419"/>
      <c r="F14" s="648" t="s">
        <v>1359</v>
      </c>
      <c r="G14" s="1421"/>
      <c r="H14" s="1422"/>
      <c r="I14" s="1422"/>
      <c r="J14" s="1422"/>
      <c r="K14" s="1422"/>
      <c r="L14" s="1422"/>
      <c r="M14" s="1422"/>
      <c r="N14" s="1422"/>
      <c r="O14" s="1422"/>
      <c r="P14" s="1422"/>
      <c r="Q14" s="1422"/>
      <c r="R14" s="1422"/>
      <c r="S14" s="1422"/>
      <c r="T14" s="1422"/>
      <c r="U14" s="1422"/>
      <c r="V14" s="1422"/>
      <c r="W14" s="1422"/>
      <c r="X14" s="1422"/>
      <c r="Y14" s="1423"/>
      <c r="Z14" s="580"/>
      <c r="AA14" s="580"/>
      <c r="AB14" s="580"/>
    </row>
    <row r="15" spans="1:31" ht="40.5" customHeight="1" thickBot="1">
      <c r="A15" s="1406"/>
      <c r="B15" s="1347"/>
      <c r="C15" s="1348"/>
      <c r="D15" s="1348"/>
      <c r="E15" s="1420"/>
      <c r="F15" s="649" t="s">
        <v>1384</v>
      </c>
      <c r="G15" s="1395"/>
      <c r="H15" s="1396"/>
      <c r="I15" s="1396"/>
      <c r="J15" s="1396"/>
      <c r="K15" s="1396"/>
      <c r="L15" s="1396"/>
      <c r="M15" s="1396"/>
      <c r="N15" s="1396"/>
      <c r="O15" s="1396"/>
      <c r="P15" s="1396"/>
      <c r="Q15" s="1396"/>
      <c r="R15" s="1396"/>
      <c r="S15" s="1396"/>
      <c r="T15" s="1396"/>
      <c r="U15" s="1396"/>
      <c r="V15" s="1396"/>
      <c r="W15" s="1396"/>
      <c r="X15" s="1396"/>
      <c r="Y15" s="1397"/>
      <c r="Z15" s="580"/>
      <c r="AA15" s="580"/>
      <c r="AB15" s="580"/>
      <c r="AC15" s="176"/>
    </row>
    <row r="16" spans="1:31" ht="18" customHeight="1" thickBot="1">
      <c r="A16" s="1404">
        <v>7</v>
      </c>
      <c r="B16" s="1407" t="s">
        <v>1385</v>
      </c>
      <c r="C16" s="1346"/>
      <c r="D16" s="1409" t="s">
        <v>1386</v>
      </c>
      <c r="E16" s="1410"/>
      <c r="F16" s="1410"/>
      <c r="G16" s="1410"/>
      <c r="H16" s="1410"/>
      <c r="I16" s="1411"/>
      <c r="J16" s="650">
        <v>2</v>
      </c>
      <c r="K16" s="532"/>
      <c r="L16" s="1412" t="s">
        <v>1387</v>
      </c>
      <c r="M16" s="1413"/>
      <c r="N16" s="1413"/>
      <c r="O16" s="1413"/>
      <c r="P16" s="1413"/>
      <c r="Q16" s="1413"/>
      <c r="R16" s="1413"/>
      <c r="S16" s="1413"/>
      <c r="T16" s="1413"/>
      <c r="U16" s="1413"/>
      <c r="V16" s="1413"/>
      <c r="W16" s="1414"/>
      <c r="X16" s="650">
        <v>1</v>
      </c>
      <c r="Y16" s="651"/>
      <c r="AC16" s="176"/>
    </row>
    <row r="17" spans="1:31" ht="18" customHeight="1" thickBot="1">
      <c r="A17" s="1405"/>
      <c r="B17" s="1408"/>
      <c r="C17" s="1379"/>
      <c r="D17" s="1386"/>
      <c r="E17" s="1387"/>
      <c r="F17" s="1387"/>
      <c r="G17" s="1387"/>
      <c r="H17" s="1387"/>
      <c r="I17" s="1388"/>
      <c r="J17" s="335"/>
      <c r="K17" s="532"/>
      <c r="L17" s="1401"/>
      <c r="M17" s="1402"/>
      <c r="N17" s="1402"/>
      <c r="O17" s="1402"/>
      <c r="P17" s="1402"/>
      <c r="Q17" s="1402"/>
      <c r="R17" s="1402"/>
      <c r="S17" s="1402"/>
      <c r="T17" s="1402"/>
      <c r="U17" s="1402"/>
      <c r="V17" s="1402"/>
      <c r="W17" s="1403"/>
      <c r="X17" s="335"/>
      <c r="Y17" s="651"/>
      <c r="AA17" s="570" t="str">
        <f>IF(AND($F$7="病棟があります",OR(D17="",J17="")),"×","○")</f>
        <v>○</v>
      </c>
      <c r="AB17" s="570"/>
      <c r="AC17" s="176"/>
      <c r="AD17" s="624">
        <v>0</v>
      </c>
      <c r="AE17" s="632">
        <v>20</v>
      </c>
    </row>
    <row r="18" spans="1:31" ht="18" customHeight="1" thickBot="1">
      <c r="A18" s="1405"/>
      <c r="B18" s="1408"/>
      <c r="C18" s="1379"/>
      <c r="D18" s="1386"/>
      <c r="E18" s="1387"/>
      <c r="F18" s="1387"/>
      <c r="G18" s="1387"/>
      <c r="H18" s="1387"/>
      <c r="I18" s="1388"/>
      <c r="J18" s="335"/>
      <c r="K18" s="532"/>
      <c r="L18" s="1401"/>
      <c r="M18" s="1402"/>
      <c r="N18" s="1402"/>
      <c r="O18" s="1402"/>
      <c r="P18" s="1402"/>
      <c r="Q18" s="1402"/>
      <c r="R18" s="1402"/>
      <c r="S18" s="1402"/>
      <c r="T18" s="1402"/>
      <c r="U18" s="1402"/>
      <c r="V18" s="1402"/>
      <c r="W18" s="1403"/>
      <c r="X18" s="335"/>
      <c r="Y18" s="651"/>
      <c r="AC18" s="176"/>
      <c r="AD18" s="624">
        <v>0</v>
      </c>
      <c r="AE18" s="632">
        <v>20</v>
      </c>
    </row>
    <row r="19" spans="1:31" ht="18" customHeight="1" thickBot="1">
      <c r="A19" s="1405"/>
      <c r="B19" s="1408"/>
      <c r="C19" s="1379"/>
      <c r="D19" s="1386"/>
      <c r="E19" s="1387"/>
      <c r="F19" s="1387"/>
      <c r="G19" s="1387"/>
      <c r="H19" s="1387"/>
      <c r="I19" s="1388"/>
      <c r="J19" s="335"/>
      <c r="K19" s="532"/>
      <c r="L19" s="1401"/>
      <c r="M19" s="1402"/>
      <c r="N19" s="1402"/>
      <c r="O19" s="1402"/>
      <c r="P19" s="1402"/>
      <c r="Q19" s="1402"/>
      <c r="R19" s="1402"/>
      <c r="S19" s="1402"/>
      <c r="T19" s="1402"/>
      <c r="U19" s="1402"/>
      <c r="V19" s="1402"/>
      <c r="W19" s="1403"/>
      <c r="X19" s="335"/>
      <c r="Y19" s="651"/>
      <c r="AC19" s="176"/>
      <c r="AD19" s="624">
        <v>0</v>
      </c>
      <c r="AE19" s="632">
        <v>20</v>
      </c>
    </row>
    <row r="20" spans="1:31" ht="18" customHeight="1" thickBot="1">
      <c r="A20" s="1405"/>
      <c r="B20" s="1408"/>
      <c r="C20" s="1379"/>
      <c r="D20" s="1386"/>
      <c r="E20" s="1387"/>
      <c r="F20" s="1387"/>
      <c r="G20" s="1387"/>
      <c r="H20" s="1387"/>
      <c r="I20" s="1388"/>
      <c r="J20" s="335"/>
      <c r="K20" s="532"/>
      <c r="L20" s="1401"/>
      <c r="M20" s="1402"/>
      <c r="N20" s="1402"/>
      <c r="O20" s="1402"/>
      <c r="P20" s="1402"/>
      <c r="Q20" s="1402"/>
      <c r="R20" s="1402"/>
      <c r="S20" s="1402"/>
      <c r="T20" s="1402"/>
      <c r="U20" s="1402"/>
      <c r="V20" s="1402"/>
      <c r="W20" s="1403"/>
      <c r="X20" s="335"/>
      <c r="Y20" s="651"/>
      <c r="AC20" s="176"/>
      <c r="AD20" s="624">
        <v>0</v>
      </c>
      <c r="AE20" s="632">
        <v>20</v>
      </c>
    </row>
    <row r="21" spans="1:31" ht="18" customHeight="1" thickBot="1">
      <c r="A21" s="1405"/>
      <c r="B21" s="1408"/>
      <c r="C21" s="1379"/>
      <c r="D21" s="1386"/>
      <c r="E21" s="1387"/>
      <c r="F21" s="1387"/>
      <c r="G21" s="1387"/>
      <c r="H21" s="1387"/>
      <c r="I21" s="1388"/>
      <c r="J21" s="335"/>
      <c r="K21" s="532"/>
      <c r="L21" s="1401"/>
      <c r="M21" s="1402"/>
      <c r="N21" s="1402"/>
      <c r="O21" s="1402"/>
      <c r="P21" s="1402"/>
      <c r="Q21" s="1402"/>
      <c r="R21" s="1402"/>
      <c r="S21" s="1402"/>
      <c r="T21" s="1402"/>
      <c r="U21" s="1402"/>
      <c r="V21" s="1402"/>
      <c r="W21" s="1403"/>
      <c r="X21" s="335"/>
      <c r="Y21" s="651"/>
      <c r="AC21" s="176"/>
      <c r="AD21" s="624">
        <v>0</v>
      </c>
      <c r="AE21" s="632">
        <v>20</v>
      </c>
    </row>
    <row r="22" spans="1:31" ht="18" customHeight="1" thickBot="1">
      <c r="A22" s="1405"/>
      <c r="B22" s="1408"/>
      <c r="C22" s="1379"/>
      <c r="D22" s="1386"/>
      <c r="E22" s="1387"/>
      <c r="F22" s="1387"/>
      <c r="G22" s="1387"/>
      <c r="H22" s="1387"/>
      <c r="I22" s="1388"/>
      <c r="J22" s="335"/>
      <c r="K22" s="532"/>
      <c r="L22" s="1401"/>
      <c r="M22" s="1402"/>
      <c r="N22" s="1402"/>
      <c r="O22" s="1402"/>
      <c r="P22" s="1402"/>
      <c r="Q22" s="1402"/>
      <c r="R22" s="1402"/>
      <c r="S22" s="1402"/>
      <c r="T22" s="1402"/>
      <c r="U22" s="1402"/>
      <c r="V22" s="1402"/>
      <c r="W22" s="1403"/>
      <c r="X22" s="335"/>
      <c r="Y22" s="651"/>
      <c r="AC22" s="176"/>
      <c r="AD22" s="624">
        <v>0</v>
      </c>
      <c r="AE22" s="632">
        <v>20</v>
      </c>
    </row>
    <row r="23" spans="1:31" ht="18" customHeight="1" thickBot="1">
      <c r="A23" s="1405"/>
      <c r="B23" s="1408"/>
      <c r="C23" s="1379"/>
      <c r="D23" s="1386"/>
      <c r="E23" s="1387"/>
      <c r="F23" s="1387"/>
      <c r="G23" s="1387"/>
      <c r="H23" s="1387"/>
      <c r="I23" s="1388"/>
      <c r="J23" s="335"/>
      <c r="K23" s="532"/>
      <c r="L23" s="1401"/>
      <c r="M23" s="1402"/>
      <c r="N23" s="1402"/>
      <c r="O23" s="1402"/>
      <c r="P23" s="1402"/>
      <c r="Q23" s="1402"/>
      <c r="R23" s="1402"/>
      <c r="S23" s="1402"/>
      <c r="T23" s="1402"/>
      <c r="U23" s="1402"/>
      <c r="V23" s="1402"/>
      <c r="W23" s="1403"/>
      <c r="X23" s="335"/>
      <c r="Y23" s="651"/>
      <c r="AC23" s="176"/>
      <c r="AD23" s="624">
        <v>0</v>
      </c>
      <c r="AE23" s="632">
        <v>20</v>
      </c>
    </row>
    <row r="24" spans="1:31" ht="18" customHeight="1" thickBot="1">
      <c r="A24" s="1405"/>
      <c r="B24" s="1408"/>
      <c r="C24" s="1379"/>
      <c r="D24" s="1386"/>
      <c r="E24" s="1387"/>
      <c r="F24" s="1387"/>
      <c r="G24" s="1387"/>
      <c r="H24" s="1387"/>
      <c r="I24" s="1388"/>
      <c r="J24" s="335"/>
      <c r="K24" s="532"/>
      <c r="L24" s="1401"/>
      <c r="M24" s="1402"/>
      <c r="N24" s="1402"/>
      <c r="O24" s="1402"/>
      <c r="P24" s="1402"/>
      <c r="Q24" s="1402"/>
      <c r="R24" s="1402"/>
      <c r="S24" s="1402"/>
      <c r="T24" s="1402"/>
      <c r="U24" s="1402"/>
      <c r="V24" s="1402"/>
      <c r="W24" s="1403"/>
      <c r="X24" s="335"/>
      <c r="Y24" s="651"/>
      <c r="AC24" s="176"/>
      <c r="AD24" s="624">
        <v>0</v>
      </c>
      <c r="AE24" s="632">
        <v>20</v>
      </c>
    </row>
    <row r="25" spans="1:31" ht="18" customHeight="1" thickBot="1">
      <c r="A25" s="1405"/>
      <c r="B25" s="1408"/>
      <c r="C25" s="1379"/>
      <c r="D25" s="1386"/>
      <c r="E25" s="1387"/>
      <c r="F25" s="1387"/>
      <c r="G25" s="1387"/>
      <c r="H25" s="1387"/>
      <c r="I25" s="1388"/>
      <c r="J25" s="335"/>
      <c r="K25" s="532"/>
      <c r="L25" s="1401"/>
      <c r="M25" s="1402"/>
      <c r="N25" s="1402"/>
      <c r="O25" s="1402"/>
      <c r="P25" s="1402"/>
      <c r="Q25" s="1402"/>
      <c r="R25" s="1402"/>
      <c r="S25" s="1402"/>
      <c r="T25" s="1402"/>
      <c r="U25" s="1402"/>
      <c r="V25" s="1402"/>
      <c r="W25" s="1403"/>
      <c r="X25" s="335"/>
      <c r="Y25" s="651"/>
      <c r="AC25" s="176"/>
      <c r="AD25" s="624">
        <v>0</v>
      </c>
      <c r="AE25" s="632">
        <v>20</v>
      </c>
    </row>
    <row r="26" spans="1:31" ht="18" customHeight="1" thickBot="1">
      <c r="A26" s="1406"/>
      <c r="B26" s="1347"/>
      <c r="C26" s="1348"/>
      <c r="D26" s="1386"/>
      <c r="E26" s="1387"/>
      <c r="F26" s="1387"/>
      <c r="G26" s="1387"/>
      <c r="H26" s="1387"/>
      <c r="I26" s="1388"/>
      <c r="J26" s="335"/>
      <c r="K26" s="652"/>
      <c r="L26" s="1389"/>
      <c r="M26" s="1390"/>
      <c r="N26" s="1390"/>
      <c r="O26" s="1390"/>
      <c r="P26" s="1390"/>
      <c r="Q26" s="1390"/>
      <c r="R26" s="1390"/>
      <c r="S26" s="1390"/>
      <c r="T26" s="1390"/>
      <c r="U26" s="1390"/>
      <c r="V26" s="1390"/>
      <c r="W26" s="1391"/>
      <c r="X26" s="335"/>
      <c r="Y26" s="651"/>
      <c r="AC26" s="176"/>
      <c r="AD26" s="624">
        <v>0</v>
      </c>
      <c r="AE26" s="632">
        <v>20</v>
      </c>
    </row>
    <row r="27" spans="1:31" ht="18" customHeight="1" thickBot="1">
      <c r="A27" s="1367">
        <v>8</v>
      </c>
      <c r="B27" s="1376" t="s">
        <v>1362</v>
      </c>
      <c r="C27" s="1377"/>
      <c r="D27" s="1378"/>
      <c r="E27" s="1378"/>
      <c r="F27" s="1379"/>
      <c r="G27" s="1379"/>
      <c r="H27" s="1379"/>
      <c r="I27" s="1379"/>
      <c r="J27" s="1379"/>
      <c r="K27" s="1379"/>
      <c r="L27" s="1379"/>
      <c r="M27" s="1379"/>
      <c r="N27" s="1379"/>
      <c r="O27" s="1379"/>
      <c r="P27" s="1379"/>
      <c r="Q27" s="1379"/>
      <c r="R27" s="1379"/>
      <c r="S27" s="1379"/>
      <c r="T27" s="1379"/>
      <c r="U27" s="1379"/>
      <c r="V27" s="1379"/>
      <c r="W27" s="1379"/>
      <c r="X27" s="1379"/>
      <c r="Y27" s="42"/>
      <c r="AA27" s="570" t="str">
        <f>IF(AND($F$7="病棟があります",Y27=""),"×","○")</f>
        <v>○</v>
      </c>
      <c r="AB27" s="570"/>
      <c r="AC27" s="176"/>
    </row>
    <row r="28" spans="1:31" ht="18" customHeight="1" thickBot="1">
      <c r="A28" s="1295"/>
      <c r="B28" s="1368" t="s">
        <v>1363</v>
      </c>
      <c r="C28" s="1369"/>
      <c r="D28" s="1369"/>
      <c r="E28" s="1369"/>
      <c r="F28" s="1370"/>
      <c r="G28" s="1371"/>
      <c r="H28" s="1371"/>
      <c r="I28" s="1371"/>
      <c r="J28" s="1371"/>
      <c r="K28" s="1371"/>
      <c r="L28" s="1371"/>
      <c r="M28" s="1371"/>
      <c r="N28" s="1371"/>
      <c r="O28" s="1371"/>
      <c r="P28" s="1371"/>
      <c r="Q28" s="1371"/>
      <c r="R28" s="1371"/>
      <c r="S28" s="1371"/>
      <c r="T28" s="1371"/>
      <c r="U28" s="1371"/>
      <c r="V28" s="1371"/>
      <c r="W28" s="1371"/>
      <c r="X28" s="1371"/>
      <c r="Y28" s="1375"/>
      <c r="AA28" s="570" t="str">
        <f>IF(AND($Y$27="はい",F28=""),"×","○")</f>
        <v>○</v>
      </c>
      <c r="AB28" s="570"/>
      <c r="AC28" s="176"/>
    </row>
    <row r="29" spans="1:31" ht="18" customHeight="1" thickBot="1">
      <c r="A29" s="1295"/>
      <c r="B29" s="1368" t="s">
        <v>1364</v>
      </c>
      <c r="C29" s="1373"/>
      <c r="D29" s="1373"/>
      <c r="E29" s="1374"/>
      <c r="F29" s="1370"/>
      <c r="G29" s="1371"/>
      <c r="H29" s="1371"/>
      <c r="I29" s="1371"/>
      <c r="J29" s="1371"/>
      <c r="K29" s="1371"/>
      <c r="L29" s="1371"/>
      <c r="M29" s="1371"/>
      <c r="N29" s="1371"/>
      <c r="O29" s="1375"/>
      <c r="P29" s="1307" t="s">
        <v>1365</v>
      </c>
      <c r="Q29" s="1307"/>
      <c r="R29" s="1307"/>
      <c r="S29" s="1398"/>
      <c r="T29" s="1399"/>
      <c r="U29" s="1399"/>
      <c r="V29" s="1399"/>
      <c r="W29" s="1399"/>
      <c r="X29" s="1399"/>
      <c r="Y29" s="1400"/>
      <c r="AA29" s="570"/>
      <c r="AB29" s="570"/>
      <c r="AC29" s="176"/>
    </row>
    <row r="30" spans="1:31" ht="18" customHeight="1" thickBot="1">
      <c r="A30" s="1295"/>
      <c r="B30" s="1380" t="s">
        <v>1388</v>
      </c>
      <c r="C30" s="1381"/>
      <c r="D30" s="1381"/>
      <c r="E30" s="1382"/>
      <c r="F30" s="648" t="s">
        <v>1359</v>
      </c>
      <c r="G30" s="1392"/>
      <c r="H30" s="1393"/>
      <c r="I30" s="1393"/>
      <c r="J30" s="1393"/>
      <c r="K30" s="1393"/>
      <c r="L30" s="1393"/>
      <c r="M30" s="1393"/>
      <c r="N30" s="1393"/>
      <c r="O30" s="1393"/>
      <c r="P30" s="1393"/>
      <c r="Q30" s="1393"/>
      <c r="R30" s="1393"/>
      <c r="S30" s="1393"/>
      <c r="T30" s="1393"/>
      <c r="U30" s="1393"/>
      <c r="V30" s="1393"/>
      <c r="W30" s="1393"/>
      <c r="X30" s="1393"/>
      <c r="Y30" s="1394"/>
      <c r="AC30" s="176"/>
    </row>
    <row r="31" spans="1:31" ht="18" customHeight="1" thickBot="1">
      <c r="A31" s="1296"/>
      <c r="B31" s="1383"/>
      <c r="C31" s="1384"/>
      <c r="D31" s="1384"/>
      <c r="E31" s="1385"/>
      <c r="F31" s="649" t="s">
        <v>1384</v>
      </c>
      <c r="G31" s="1395"/>
      <c r="H31" s="1396"/>
      <c r="I31" s="1396"/>
      <c r="J31" s="1396"/>
      <c r="K31" s="1396"/>
      <c r="L31" s="1396"/>
      <c r="M31" s="1396"/>
      <c r="N31" s="1396"/>
      <c r="O31" s="1396"/>
      <c r="P31" s="1396"/>
      <c r="Q31" s="1396"/>
      <c r="R31" s="1396"/>
      <c r="S31" s="1396"/>
      <c r="T31" s="1396"/>
      <c r="U31" s="1396"/>
      <c r="V31" s="1396"/>
      <c r="W31" s="1396"/>
      <c r="X31" s="1396"/>
      <c r="Y31" s="1397"/>
      <c r="AC31" s="176"/>
    </row>
    <row r="32" spans="1:31" ht="35.25" customHeight="1" thickBot="1">
      <c r="A32" s="1367">
        <v>9</v>
      </c>
      <c r="B32" s="653" t="s">
        <v>1366</v>
      </c>
      <c r="C32" s="654"/>
      <c r="D32" s="654"/>
      <c r="E32" s="654"/>
      <c r="F32" s="655"/>
      <c r="G32" s="655"/>
      <c r="H32" s="655"/>
      <c r="I32" s="655"/>
      <c r="J32" s="655"/>
      <c r="K32" s="655"/>
      <c r="L32" s="655"/>
      <c r="M32" s="655"/>
      <c r="N32" s="655"/>
      <c r="O32" s="655"/>
      <c r="P32" s="655"/>
      <c r="Q32" s="655"/>
      <c r="R32" s="655"/>
      <c r="S32" s="655"/>
      <c r="T32" s="655"/>
      <c r="U32" s="655"/>
      <c r="V32" s="655"/>
      <c r="W32" s="655"/>
      <c r="X32" s="656"/>
      <c r="Y32" s="40"/>
      <c r="AA32" s="570" t="str">
        <f>IF(AND($F$7="病棟があります",Y32=""),"×","○")</f>
        <v>○</v>
      </c>
      <c r="AB32" s="570"/>
      <c r="AC32" s="176"/>
    </row>
    <row r="33" spans="1:29" ht="18" customHeight="1" thickBot="1">
      <c r="A33" s="1295"/>
      <c r="B33" s="1368" t="s">
        <v>1363</v>
      </c>
      <c r="C33" s="1369"/>
      <c r="D33" s="1369"/>
      <c r="E33" s="1369"/>
      <c r="F33" s="1370"/>
      <c r="G33" s="1371"/>
      <c r="H33" s="1371"/>
      <c r="I33" s="1371"/>
      <c r="J33" s="1371"/>
      <c r="K33" s="1371"/>
      <c r="L33" s="1371"/>
      <c r="M33" s="1371"/>
      <c r="N33" s="1371"/>
      <c r="O33" s="1371"/>
      <c r="P33" s="1371"/>
      <c r="Q33" s="1371"/>
      <c r="R33" s="1371"/>
      <c r="S33" s="1371"/>
      <c r="T33" s="1371"/>
      <c r="U33" s="1371"/>
      <c r="V33" s="1371"/>
      <c r="W33" s="1371"/>
      <c r="X33" s="1371"/>
      <c r="Y33" s="1372"/>
      <c r="AA33" s="570" t="str">
        <f>IF(AND($Y$32="はい",F33=""),"×","○")</f>
        <v>○</v>
      </c>
      <c r="AB33" s="570"/>
      <c r="AC33" s="176"/>
    </row>
    <row r="34" spans="1:29" ht="18" customHeight="1" thickBot="1">
      <c r="A34" s="1295"/>
      <c r="B34" s="1368" t="s">
        <v>1364</v>
      </c>
      <c r="C34" s="1373"/>
      <c r="D34" s="1373"/>
      <c r="E34" s="1374"/>
      <c r="F34" s="1370"/>
      <c r="G34" s="1371"/>
      <c r="H34" s="1371"/>
      <c r="I34" s="1371"/>
      <c r="J34" s="1371"/>
      <c r="K34" s="1371"/>
      <c r="L34" s="1371"/>
      <c r="M34" s="1371"/>
      <c r="N34" s="1371"/>
      <c r="O34" s="1375"/>
      <c r="P34" s="1307" t="s">
        <v>1365</v>
      </c>
      <c r="Q34" s="1307"/>
      <c r="R34" s="1307"/>
      <c r="S34" s="1398"/>
      <c r="T34" s="1399"/>
      <c r="U34" s="1399"/>
      <c r="V34" s="1399"/>
      <c r="W34" s="1399"/>
      <c r="X34" s="1399"/>
      <c r="Y34" s="1400"/>
      <c r="AC34" s="176"/>
    </row>
    <row r="35" spans="1:29" ht="18" customHeight="1" thickBot="1">
      <c r="A35" s="1295"/>
      <c r="B35" s="1353" t="s">
        <v>1388</v>
      </c>
      <c r="C35" s="1354"/>
      <c r="D35" s="1354"/>
      <c r="E35" s="1355"/>
      <c r="F35" s="648" t="s">
        <v>1359</v>
      </c>
      <c r="G35" s="1359"/>
      <c r="H35" s="1359"/>
      <c r="I35" s="1359"/>
      <c r="J35" s="1359"/>
      <c r="K35" s="1359"/>
      <c r="L35" s="1359"/>
      <c r="M35" s="1359"/>
      <c r="N35" s="1359"/>
      <c r="O35" s="1359"/>
      <c r="P35" s="1359"/>
      <c r="Q35" s="1359"/>
      <c r="R35" s="1359"/>
      <c r="S35" s="1359"/>
      <c r="T35" s="1359"/>
      <c r="U35" s="1359"/>
      <c r="V35" s="1359"/>
      <c r="W35" s="1359"/>
      <c r="X35" s="1359"/>
      <c r="Y35" s="1359"/>
      <c r="AC35" s="176"/>
    </row>
    <row r="36" spans="1:29" ht="18" customHeight="1" thickBot="1">
      <c r="A36" s="1296"/>
      <c r="B36" s="1356"/>
      <c r="C36" s="1357"/>
      <c r="D36" s="1357"/>
      <c r="E36" s="1358"/>
      <c r="F36" s="649" t="s">
        <v>1384</v>
      </c>
      <c r="G36" s="1360"/>
      <c r="H36" s="1360"/>
      <c r="I36" s="1360"/>
      <c r="J36" s="1360"/>
      <c r="K36" s="1360"/>
      <c r="L36" s="1360"/>
      <c r="M36" s="1360"/>
      <c r="N36" s="1360"/>
      <c r="O36" s="1360"/>
      <c r="P36" s="1360"/>
      <c r="Q36" s="1360"/>
      <c r="R36" s="1360"/>
      <c r="S36" s="1360"/>
      <c r="T36" s="1360"/>
      <c r="U36" s="1360"/>
      <c r="V36" s="1360"/>
      <c r="W36" s="1360"/>
      <c r="X36" s="1360"/>
      <c r="Y36" s="1360"/>
      <c r="AC36" s="176"/>
    </row>
    <row r="37" spans="1:29" ht="35.25" customHeight="1" thickBot="1">
      <c r="A37" s="1269">
        <v>10</v>
      </c>
      <c r="B37" s="1345" t="s">
        <v>1389</v>
      </c>
      <c r="C37" s="1361"/>
      <c r="D37" s="1362" t="s">
        <v>1390</v>
      </c>
      <c r="E37" s="1363"/>
      <c r="F37" s="1363"/>
      <c r="G37" s="1364"/>
      <c r="H37" s="1364"/>
      <c r="I37" s="1364"/>
      <c r="J37" s="1364"/>
      <c r="K37" s="1364"/>
      <c r="L37" s="1364"/>
      <c r="M37" s="1364"/>
      <c r="N37" s="1364"/>
      <c r="O37" s="1364"/>
      <c r="P37" s="1364"/>
      <c r="Q37" s="1364"/>
      <c r="R37" s="1364"/>
      <c r="S37" s="1364"/>
      <c r="T37" s="1364"/>
      <c r="U37" s="1364"/>
      <c r="V37" s="1364"/>
      <c r="W37" s="1364"/>
      <c r="X37" s="1364"/>
      <c r="Y37" s="1365"/>
      <c r="AC37" s="176"/>
    </row>
    <row r="38" spans="1:29" ht="24.95" customHeight="1" thickBot="1">
      <c r="A38" s="1269"/>
      <c r="B38" s="1347"/>
      <c r="C38" s="1348"/>
      <c r="D38" s="1366"/>
      <c r="E38" s="1366"/>
      <c r="F38" s="1366"/>
      <c r="G38" s="1366"/>
      <c r="H38" s="1366"/>
      <c r="I38" s="1366"/>
      <c r="J38" s="1366"/>
      <c r="K38" s="1366"/>
      <c r="L38" s="1366"/>
      <c r="M38" s="1366"/>
      <c r="N38" s="1366"/>
      <c r="O38" s="1366"/>
      <c r="P38" s="1366"/>
      <c r="Q38" s="1366"/>
      <c r="R38" s="1366"/>
      <c r="S38" s="1366"/>
      <c r="T38" s="1366"/>
      <c r="U38" s="1366"/>
      <c r="V38" s="1366"/>
      <c r="W38" s="1366"/>
      <c r="X38" s="1366"/>
      <c r="Y38" s="1366"/>
      <c r="AA38" s="570" t="str">
        <f>IF(AND($F$7="病棟があります",D38=""),"×","○")</f>
        <v>○</v>
      </c>
      <c r="AB38" s="570"/>
      <c r="AC38" s="176"/>
    </row>
    <row r="39" spans="1:29" ht="33.75" customHeight="1" thickBot="1">
      <c r="A39" s="1266">
        <v>11</v>
      </c>
      <c r="B39" s="1345" t="s">
        <v>1391</v>
      </c>
      <c r="C39" s="1346"/>
      <c r="D39" s="1349" t="s">
        <v>1392</v>
      </c>
      <c r="E39" s="1350"/>
      <c r="F39" s="1350"/>
      <c r="G39" s="1350"/>
      <c r="H39" s="1350"/>
      <c r="I39" s="1350"/>
      <c r="J39" s="1350"/>
      <c r="K39" s="1350"/>
      <c r="L39" s="1350"/>
      <c r="M39" s="1350"/>
      <c r="N39" s="1350"/>
      <c r="O39" s="1350"/>
      <c r="P39" s="1350"/>
      <c r="Q39" s="1350"/>
      <c r="R39" s="1350"/>
      <c r="S39" s="1350"/>
      <c r="T39" s="1350"/>
      <c r="U39" s="1350"/>
      <c r="V39" s="1350"/>
      <c r="W39" s="1350"/>
      <c r="X39" s="1350"/>
      <c r="Y39" s="1351"/>
      <c r="AC39" s="176"/>
    </row>
    <row r="40" spans="1:29" ht="30" customHeight="1" thickBot="1">
      <c r="A40" s="1344"/>
      <c r="B40" s="1347"/>
      <c r="C40" s="1348"/>
      <c r="D40" s="1352"/>
      <c r="E40" s="1352"/>
      <c r="F40" s="1352"/>
      <c r="G40" s="1352"/>
      <c r="H40" s="1352"/>
      <c r="I40" s="1352"/>
      <c r="J40" s="1352"/>
      <c r="K40" s="1352"/>
      <c r="L40" s="1352"/>
      <c r="M40" s="1352"/>
      <c r="N40" s="1352"/>
      <c r="O40" s="1352"/>
      <c r="P40" s="1352"/>
      <c r="Q40" s="1352"/>
      <c r="R40" s="1352"/>
      <c r="S40" s="1352"/>
      <c r="T40" s="1352"/>
      <c r="U40" s="1352"/>
      <c r="V40" s="1352"/>
      <c r="W40" s="1352"/>
      <c r="X40" s="1352"/>
      <c r="Y40" s="1352"/>
      <c r="AA40" s="570" t="str">
        <f>IF(AND($F$7="病棟があります",D40=""),"×","○")</f>
        <v>○</v>
      </c>
      <c r="AB40" s="570"/>
      <c r="AC40" s="177"/>
    </row>
    <row r="41" spans="1:29" ht="54" customHeight="1">
      <c r="AC41" s="657"/>
    </row>
    <row r="1048576" spans="29:29">
      <c r="AC1048576" s="641" t="s">
        <v>1393</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10"/>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Normal="100" zoomScaleSheetLayoutView="100" workbookViewId="0">
      <selection activeCell="H16" sqref="H16"/>
    </sheetView>
  </sheetViews>
  <sheetFormatPr defaultColWidth="9" defaultRowHeight="13.5"/>
  <cols>
    <col min="1" max="2" width="9.625" customWidth="1"/>
    <col min="3" max="3" width="5.625" customWidth="1"/>
    <col min="4" max="5" width="15.625" customWidth="1"/>
    <col min="6" max="9" width="9.625" customWidth="1"/>
    <col min="10" max="10" width="38" customWidth="1"/>
    <col min="11" max="11" width="2.75" customWidth="1"/>
    <col min="12" max="12" width="6" hidden="1" customWidth="1"/>
    <col min="13" max="13" width="2.375" style="59" hidden="1" customWidth="1"/>
    <col min="14" max="14" width="80.625" style="340" customWidth="1"/>
    <col min="15" max="16" width="0" hidden="1" customWidth="1"/>
  </cols>
  <sheetData>
    <row r="1" spans="1:16" ht="20.25" customHeight="1" thickBot="1">
      <c r="A1" s="1439" t="s">
        <v>1394</v>
      </c>
      <c r="B1" s="1439"/>
      <c r="C1" s="1439"/>
      <c r="D1" s="1439"/>
      <c r="E1" s="1439"/>
      <c r="F1" s="1439"/>
      <c r="G1" s="1439"/>
      <c r="H1" s="1439"/>
      <c r="I1" s="1439"/>
      <c r="J1" s="1439"/>
      <c r="M1" s="97"/>
    </row>
    <row r="2" spans="1:16" ht="24.95" customHeight="1" thickTop="1" thickBot="1">
      <c r="A2" s="1338" t="s">
        <v>1348</v>
      </c>
      <c r="B2" s="1338"/>
      <c r="C2" s="1338"/>
      <c r="D2" s="1338"/>
      <c r="E2" s="1338"/>
      <c r="F2" s="1338"/>
      <c r="G2" s="1338"/>
      <c r="H2" s="1338"/>
      <c r="I2" s="1339"/>
      <c r="J2" s="533" t="str">
        <f>IF(COUNTIF(L7:L18,"×")=0,"入力済","未入力あり")</f>
        <v>入力済</v>
      </c>
      <c r="K2" s="1234"/>
      <c r="L2" s="594"/>
      <c r="M2" s="97"/>
    </row>
    <row r="3" spans="1:16" ht="5.0999999999999996" customHeight="1" thickTop="1">
      <c r="K3" s="1234"/>
      <c r="L3" s="594"/>
      <c r="M3" s="97"/>
    </row>
    <row r="4" spans="1:16" ht="20.100000000000001" customHeight="1">
      <c r="F4" s="658" t="s">
        <v>1222</v>
      </c>
      <c r="G4" s="1440" t="str">
        <f>表紙!E2</f>
        <v>市立豊中病院</v>
      </c>
      <c r="H4" s="1441"/>
      <c r="I4" s="1441"/>
      <c r="J4" s="1442"/>
      <c r="K4" s="1234"/>
      <c r="L4" s="594"/>
      <c r="M4" s="97"/>
      <c r="N4" s="535"/>
    </row>
    <row r="5" spans="1:16" ht="20.100000000000001" customHeight="1">
      <c r="F5" s="658" t="s">
        <v>1395</v>
      </c>
      <c r="G5" t="str">
        <f>+'事務局使用（発出時は非表示にすること）'!B3</f>
        <v>令和６年９月１日時点</v>
      </c>
      <c r="I5" s="659"/>
      <c r="J5" s="659"/>
      <c r="K5" s="1234"/>
      <c r="L5" s="594"/>
      <c r="M5" s="97"/>
      <c r="N5" s="660" t="s">
        <v>268</v>
      </c>
    </row>
    <row r="6" spans="1:16" ht="18" customHeight="1" thickBot="1">
      <c r="A6" s="1443" t="s">
        <v>1396</v>
      </c>
      <c r="B6" s="1444"/>
      <c r="C6" s="1444"/>
      <c r="D6" s="1444"/>
      <c r="E6" s="1444"/>
      <c r="F6" s="1444"/>
      <c r="G6" s="1444"/>
      <c r="H6" s="1444"/>
      <c r="I6" s="1444"/>
      <c r="J6" s="1445"/>
      <c r="K6" s="594"/>
      <c r="L6" s="594"/>
      <c r="M6" s="97"/>
      <c r="N6" s="87"/>
    </row>
    <row r="7" spans="1:16" ht="18" customHeight="1" thickBot="1">
      <c r="A7" t="str">
        <f>+'事務局使用（発出時は非表示にすること）'!B4</f>
        <v>令和５年１月１日～12月31日</v>
      </c>
      <c r="B7" s="9"/>
      <c r="C7" s="9"/>
      <c r="D7" t="s">
        <v>1397</v>
      </c>
      <c r="F7" s="9"/>
      <c r="H7" s="335">
        <v>2</v>
      </c>
      <c r="I7" s="661" t="s">
        <v>1398</v>
      </c>
      <c r="J7" s="662"/>
      <c r="K7" s="203"/>
      <c r="L7" s="663" t="str">
        <f>IF(H7&lt;&gt;"","○","×")</f>
        <v>○</v>
      </c>
      <c r="M7" s="97"/>
      <c r="N7" s="87"/>
      <c r="O7" s="375">
        <v>0</v>
      </c>
      <c r="P7" s="376">
        <v>50</v>
      </c>
    </row>
    <row r="8" spans="1:16" ht="18" customHeight="1" thickBot="1">
      <c r="A8" s="1014"/>
      <c r="B8" s="9"/>
      <c r="C8" s="9"/>
      <c r="D8" t="s">
        <v>1399</v>
      </c>
      <c r="F8" s="9"/>
      <c r="H8" s="335">
        <v>9</v>
      </c>
      <c r="I8" s="661" t="s">
        <v>1398</v>
      </c>
      <c r="J8" s="662"/>
      <c r="K8" s="203"/>
      <c r="L8" s="663" t="str">
        <f>IF(H8&lt;&gt;"","○","×")</f>
        <v>○</v>
      </c>
      <c r="M8" s="97"/>
      <c r="N8" s="87"/>
      <c r="O8" s="375">
        <v>0</v>
      </c>
      <c r="P8" s="376">
        <v>50</v>
      </c>
    </row>
    <row r="9" spans="1:16" ht="29.25" customHeight="1">
      <c r="A9" s="1015" t="s">
        <v>1400</v>
      </c>
      <c r="B9" s="1451" t="s">
        <v>1401</v>
      </c>
      <c r="C9" s="1451"/>
      <c r="D9" s="1451"/>
      <c r="E9" s="1451"/>
      <c r="F9" s="1451"/>
      <c r="G9" s="1451"/>
      <c r="H9" s="1451"/>
      <c r="I9" s="1451"/>
      <c r="J9" s="1452"/>
      <c r="K9" s="594"/>
      <c r="L9" s="664"/>
      <c r="M9" s="97"/>
      <c r="N9" s="87"/>
    </row>
    <row r="10" spans="1:16" ht="18.75" customHeight="1">
      <c r="A10" s="665" t="s">
        <v>1402</v>
      </c>
      <c r="B10" s="1453" t="s">
        <v>1403</v>
      </c>
      <c r="C10" s="1453"/>
      <c r="D10" s="1453"/>
      <c r="E10" s="1453"/>
      <c r="F10" s="1453"/>
      <c r="G10" s="1453"/>
      <c r="H10" s="1453"/>
      <c r="I10" s="1453"/>
      <c r="J10" s="1454"/>
      <c r="K10" s="594"/>
      <c r="L10" s="664"/>
      <c r="M10" s="97"/>
      <c r="N10" s="87"/>
    </row>
    <row r="11" spans="1:16" ht="20.100000000000001" customHeight="1" thickBot="1">
      <c r="A11" s="1111" t="s">
        <v>1404</v>
      </c>
      <c r="B11" s="1112"/>
      <c r="C11" s="1112"/>
      <c r="D11" s="1112"/>
      <c r="E11" s="1112"/>
      <c r="F11" s="1112"/>
      <c r="G11" s="1112"/>
      <c r="H11" s="1112"/>
      <c r="I11" s="1047"/>
      <c r="J11" s="1113"/>
      <c r="K11" s="594"/>
      <c r="L11" s="664"/>
      <c r="M11" s="97"/>
      <c r="N11" s="87"/>
    </row>
    <row r="12" spans="1:16" ht="20.100000000000001" customHeight="1" thickBot="1">
      <c r="A12" s="1455" t="s">
        <v>1405</v>
      </c>
      <c r="B12" s="1455"/>
      <c r="C12" s="1455"/>
      <c r="D12" s="1455"/>
      <c r="E12" s="1455"/>
      <c r="F12" s="1456"/>
      <c r="G12" s="666"/>
      <c r="H12" s="335"/>
      <c r="I12" s="667" t="s">
        <v>1380</v>
      </c>
      <c r="J12" s="662"/>
      <c r="K12" s="203"/>
      <c r="L12" s="663" t="str">
        <f>IF(AND('様式4（全般事項）'!$G$5="都道府県がん診療連携拠点病院",H12=""),"×","○")</f>
        <v>○</v>
      </c>
      <c r="M12" s="97"/>
      <c r="N12" s="87"/>
      <c r="O12" s="375">
        <v>0</v>
      </c>
      <c r="P12" s="376">
        <v>10</v>
      </c>
    </row>
    <row r="13" spans="1:16" ht="20.100000000000001" customHeight="1" thickBot="1">
      <c r="A13" s="1457" t="str">
        <f>+"・緊急緩和ケア病床の入院患者数（"&amp;A7&amp;"）"</f>
        <v>・緊急緩和ケア病床の入院患者数（令和５年１月１日～12月31日）</v>
      </c>
      <c r="B13" s="1457"/>
      <c r="C13" s="1457"/>
      <c r="D13" s="1457"/>
      <c r="E13" s="1457"/>
      <c r="F13" s="1458"/>
      <c r="G13" s="668"/>
      <c r="H13" s="335"/>
      <c r="I13" s="669" t="s">
        <v>422</v>
      </c>
      <c r="J13" s="670"/>
      <c r="K13" s="203"/>
      <c r="L13" s="663" t="str">
        <f>IF(AND('様式4（全般事項）'!$G$5="都道府県がん診療連携拠点病院",H13=""),"×","○")</f>
        <v>○</v>
      </c>
      <c r="M13" s="97"/>
      <c r="N13" s="87"/>
      <c r="O13" s="375">
        <v>0</v>
      </c>
      <c r="P13" s="376">
        <v>1000</v>
      </c>
    </row>
    <row r="14" spans="1:16" ht="20.100000000000001" customHeight="1" thickBot="1">
      <c r="A14" s="1111" t="s">
        <v>1406</v>
      </c>
      <c r="B14" s="1112"/>
      <c r="C14" s="1112"/>
      <c r="D14" s="1112"/>
      <c r="E14" s="1112"/>
      <c r="F14" s="1112"/>
      <c r="G14" s="1112"/>
      <c r="H14" s="1112"/>
      <c r="I14" s="1047"/>
      <c r="J14" s="1113"/>
      <c r="K14" s="594"/>
      <c r="L14" s="664"/>
      <c r="M14" s="97"/>
      <c r="N14" s="87"/>
    </row>
    <row r="15" spans="1:16" ht="20.100000000000001" customHeight="1" thickBot="1">
      <c r="A15" s="1455" t="s">
        <v>1407</v>
      </c>
      <c r="B15" s="1455"/>
      <c r="C15" s="1455"/>
      <c r="D15" s="1455"/>
      <c r="E15" s="1455"/>
      <c r="F15" s="1456"/>
      <c r="G15" s="666"/>
      <c r="H15" s="42" t="s">
        <v>1936</v>
      </c>
      <c r="I15" s="667"/>
      <c r="J15" s="662"/>
      <c r="K15" s="203"/>
      <c r="L15" s="663" t="str">
        <f>IF(H15&lt;&gt;"","○","×")</f>
        <v>○</v>
      </c>
      <c r="M15" s="97"/>
      <c r="N15" s="87"/>
    </row>
    <row r="16" spans="1:16" ht="20.100000000000001" customHeight="1" thickBot="1">
      <c r="A16" s="1446" t="str">
        <f>+"・がんの難治性疼痛に対する神経ブロックの提供実施延べ人数（"&amp;'事務局使用（発出時は非表示にすること）'!B4&amp;"）"</f>
        <v>・がんの難治性疼痛に対する神経ブロックの提供実施延べ人数（令和５年１月１日～12月31日）</v>
      </c>
      <c r="B16" s="1446"/>
      <c r="C16" s="1446"/>
      <c r="D16" s="1446"/>
      <c r="E16" s="1446"/>
      <c r="F16" s="1447"/>
      <c r="G16" s="671"/>
      <c r="H16" s="335">
        <v>3</v>
      </c>
      <c r="I16" s="667" t="s">
        <v>305</v>
      </c>
      <c r="J16" s="662"/>
      <c r="K16" s="203"/>
      <c r="L16" s="672" t="str">
        <f>IF(AND(H15="はい",H16=""),"×","○")</f>
        <v>○</v>
      </c>
      <c r="M16" s="97"/>
      <c r="N16" s="87"/>
      <c r="O16" s="375">
        <v>0</v>
      </c>
      <c r="P16" s="376">
        <v>500</v>
      </c>
    </row>
    <row r="17" spans="1:14" ht="20.100000000000001" customHeight="1" thickBot="1">
      <c r="A17" s="602" t="s">
        <v>1408</v>
      </c>
      <c r="B17" s="602"/>
      <c r="C17" s="602"/>
      <c r="D17" s="602"/>
      <c r="E17" s="602"/>
      <c r="F17" s="602"/>
      <c r="H17" s="673"/>
      <c r="I17" s="9"/>
      <c r="J17" s="662"/>
      <c r="K17" s="203"/>
      <c r="L17" s="663"/>
      <c r="M17" s="97"/>
      <c r="N17" s="178"/>
    </row>
    <row r="18" spans="1:14" ht="48.75" customHeight="1" thickBot="1">
      <c r="A18" s="1448"/>
      <c r="B18" s="1449"/>
      <c r="C18" s="1449"/>
      <c r="D18" s="1449"/>
      <c r="E18" s="1449"/>
      <c r="F18" s="1449"/>
      <c r="G18" s="1449"/>
      <c r="H18" s="1449"/>
      <c r="I18" s="1450"/>
      <c r="J18" s="670"/>
      <c r="K18" s="203"/>
      <c r="L18" s="663" t="str">
        <f>IF(AND(H15="いいえ",A18=""),"×","○")</f>
        <v>○</v>
      </c>
      <c r="M18" s="97"/>
      <c r="N18" s="178"/>
    </row>
    <row r="19" spans="1:14" ht="12" customHeight="1">
      <c r="F19" s="658"/>
      <c r="G19" s="9"/>
      <c r="H19" s="9"/>
      <c r="I19" s="659"/>
      <c r="J19" s="659"/>
      <c r="K19" s="594"/>
      <c r="L19" s="594"/>
      <c r="N19" s="160"/>
    </row>
    <row r="20" spans="1:14">
      <c r="K20" s="158"/>
      <c r="L20" s="158"/>
    </row>
    <row r="23" spans="1:14">
      <c r="M23" s="191"/>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10"/>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topLeftCell="A10" zoomScaleNormal="100" zoomScaleSheetLayoutView="100" workbookViewId="0">
      <selection activeCell="A46" sqref="A46:F47"/>
    </sheetView>
  </sheetViews>
  <sheetFormatPr defaultColWidth="8.875" defaultRowHeight="18.75"/>
  <cols>
    <col min="1" max="1" width="4.625" style="676" customWidth="1"/>
    <col min="2" max="2" width="17.625" style="676" customWidth="1"/>
    <col min="3" max="3" width="15.75" style="695" customWidth="1"/>
    <col min="4" max="4" width="15.25" style="676" customWidth="1"/>
    <col min="5" max="5" width="11.875" style="676" customWidth="1"/>
    <col min="6" max="6" width="39.25" style="676" customWidth="1"/>
    <col min="7" max="7" width="2.75" style="676" customWidth="1"/>
    <col min="8" max="8" width="6" style="676" hidden="1" customWidth="1"/>
    <col min="9" max="9" width="2.25" style="685" hidden="1" customWidth="1"/>
    <col min="10" max="10" width="82.75" style="679" bestFit="1" customWidth="1"/>
    <col min="11" max="16384" width="8.875" style="676"/>
  </cols>
  <sheetData>
    <row r="1" spans="1:10">
      <c r="A1" s="1474" t="s">
        <v>1409</v>
      </c>
      <c r="B1" s="1474"/>
      <c r="C1" s="1474"/>
      <c r="D1" s="1474"/>
      <c r="E1" s="1474"/>
      <c r="F1" s="1474"/>
      <c r="G1" s="674"/>
      <c r="H1" s="674"/>
      <c r="I1" s="98"/>
      <c r="J1" s="675"/>
    </row>
    <row r="2" spans="1:10" ht="6" customHeight="1" thickBot="1">
      <c r="A2" s="677"/>
      <c r="B2" s="677"/>
      <c r="C2" s="677"/>
      <c r="D2" s="677"/>
      <c r="E2" s="677"/>
      <c r="F2" s="677"/>
      <c r="G2" s="674"/>
      <c r="H2" s="674"/>
      <c r="I2" s="98"/>
      <c r="J2" s="675"/>
    </row>
    <row r="3" spans="1:10" ht="20.25" customHeight="1" thickTop="1" thickBot="1">
      <c r="A3" s="1338" t="s">
        <v>1348</v>
      </c>
      <c r="B3" s="1338"/>
      <c r="C3" s="1338"/>
      <c r="D3" s="1338"/>
      <c r="E3" s="1339"/>
      <c r="F3" s="533" t="str">
        <f>IF(COUNTIF(H13:H47,"×")&gt;=1,"未入力あり","入力済")</f>
        <v>入力済</v>
      </c>
      <c r="G3" s="1470"/>
      <c r="H3" s="678"/>
      <c r="I3" s="98"/>
    </row>
    <row r="4" spans="1:10" ht="19.5" thickTop="1">
      <c r="A4" s="1475"/>
      <c r="B4" s="1475"/>
      <c r="C4" s="1475"/>
      <c r="D4" s="1475"/>
      <c r="E4" s="1475"/>
      <c r="F4" s="1475"/>
      <c r="G4" s="1470"/>
      <c r="H4" s="678"/>
      <c r="I4" s="98"/>
    </row>
    <row r="5" spans="1:10">
      <c r="A5" s="674"/>
      <c r="B5" s="674"/>
      <c r="C5" s="680"/>
      <c r="D5" s="684"/>
      <c r="E5" s="1033" t="s">
        <v>1236</v>
      </c>
      <c r="F5" s="1034" t="str">
        <f>表紙!E2</f>
        <v>市立豊中病院</v>
      </c>
      <c r="G5" s="1470"/>
      <c r="H5" s="678"/>
      <c r="I5" s="682"/>
      <c r="J5" s="188" t="s">
        <v>1410</v>
      </c>
    </row>
    <row r="6" spans="1:10">
      <c r="A6" s="674"/>
      <c r="B6" s="674"/>
      <c r="C6" s="680"/>
      <c r="D6" s="684"/>
      <c r="E6" s="1033" t="s">
        <v>1411</v>
      </c>
      <c r="F6" s="1046" t="str">
        <f>+'事務局使用（発出時は非表示にすること）'!B3</f>
        <v>令和６年９月１日時点</v>
      </c>
      <c r="G6" s="1470"/>
      <c r="H6" s="678"/>
      <c r="I6" s="683"/>
      <c r="J6" s="179"/>
    </row>
    <row r="7" spans="1:10">
      <c r="A7" s="1032" t="s">
        <v>1412</v>
      </c>
      <c r="B7" s="674"/>
      <c r="C7" s="680"/>
      <c r="D7" s="674"/>
      <c r="E7" s="681"/>
      <c r="F7" s="685"/>
      <c r="G7" s="674"/>
      <c r="H7" s="674"/>
      <c r="I7" s="683"/>
      <c r="J7" s="179"/>
    </row>
    <row r="8" spans="1:10" ht="25.5" customHeight="1">
      <c r="A8" s="686"/>
      <c r="B8" s="1473" t="s">
        <v>1413</v>
      </c>
      <c r="C8" s="1473"/>
      <c r="D8" s="1473"/>
      <c r="E8" s="1473"/>
      <c r="F8" s="1473"/>
      <c r="G8" s="674"/>
      <c r="H8" s="674"/>
      <c r="I8" s="683"/>
      <c r="J8" s="179"/>
    </row>
    <row r="9" spans="1:10" ht="9" customHeight="1">
      <c r="A9" s="686"/>
      <c r="B9" s="687"/>
      <c r="C9" s="687"/>
      <c r="D9" s="687"/>
      <c r="E9" s="687"/>
      <c r="F9" s="687"/>
      <c r="G9" s="674"/>
      <c r="H9" s="674"/>
      <c r="I9" s="683"/>
      <c r="J9" s="179"/>
    </row>
    <row r="10" spans="1:10" ht="19.5" customHeight="1" thickBot="1">
      <c r="A10" s="1476" t="s">
        <v>1414</v>
      </c>
      <c r="B10" s="1477"/>
      <c r="C10" s="1477"/>
      <c r="D10" s="1477"/>
      <c r="E10" s="1477"/>
      <c r="F10" s="1477"/>
      <c r="G10" s="685"/>
      <c r="H10" s="685"/>
      <c r="J10" s="179"/>
    </row>
    <row r="11" spans="1:10" ht="27" customHeight="1" thickBot="1">
      <c r="A11" s="688"/>
      <c r="B11" s="689" t="s">
        <v>1415</v>
      </c>
      <c r="C11" s="689" t="s">
        <v>1416</v>
      </c>
      <c r="D11" s="1471" t="s">
        <v>1417</v>
      </c>
      <c r="E11" s="1471"/>
      <c r="F11" s="1471"/>
      <c r="G11" s="685"/>
      <c r="H11" s="685"/>
      <c r="J11" s="179"/>
    </row>
    <row r="12" spans="1:10" ht="21" customHeight="1" thickBot="1">
      <c r="A12" s="690" t="s">
        <v>1418</v>
      </c>
      <c r="B12" s="691" t="s">
        <v>1419</v>
      </c>
      <c r="C12" s="690" t="s">
        <v>1420</v>
      </c>
      <c r="D12" s="1472" t="s">
        <v>1421</v>
      </c>
      <c r="E12" s="1472"/>
      <c r="F12" s="1472"/>
      <c r="G12" s="685"/>
      <c r="H12" s="685"/>
      <c r="J12" s="179"/>
    </row>
    <row r="13" spans="1:10" ht="21" customHeight="1" thickBot="1">
      <c r="A13" s="692">
        <v>1</v>
      </c>
      <c r="B13" s="112" t="s">
        <v>314</v>
      </c>
      <c r="C13" s="62" t="s">
        <v>1789</v>
      </c>
      <c r="D13" s="1469" t="s">
        <v>1982</v>
      </c>
      <c r="E13" s="1469"/>
      <c r="F13" s="1469"/>
      <c r="G13" s="685"/>
      <c r="H13" s="676" t="str">
        <f>IF(AND(B13&lt;&gt;"",C13&lt;&gt;""),"○","×")</f>
        <v>○</v>
      </c>
      <c r="J13" s="179"/>
    </row>
    <row r="14" spans="1:10" ht="21" customHeight="1" thickBot="1">
      <c r="A14" s="692">
        <v>2</v>
      </c>
      <c r="B14" s="112" t="s">
        <v>314</v>
      </c>
      <c r="C14" s="62" t="s">
        <v>1789</v>
      </c>
      <c r="D14" s="1469" t="s">
        <v>1983</v>
      </c>
      <c r="E14" s="1469"/>
      <c r="F14" s="1469"/>
      <c r="G14" s="685"/>
      <c r="H14" s="685"/>
      <c r="J14" s="179"/>
    </row>
    <row r="15" spans="1:10" ht="21" customHeight="1" thickBot="1">
      <c r="A15" s="692">
        <v>3</v>
      </c>
      <c r="B15" s="112" t="s">
        <v>314</v>
      </c>
      <c r="C15" s="62" t="s">
        <v>1984</v>
      </c>
      <c r="D15" s="1469" t="s">
        <v>1985</v>
      </c>
      <c r="E15" s="1469"/>
      <c r="F15" s="1469"/>
      <c r="G15" s="685"/>
      <c r="H15" s="685"/>
      <c r="J15" s="179"/>
    </row>
    <row r="16" spans="1:10" ht="21" customHeight="1" thickBot="1">
      <c r="A16" s="692">
        <v>4</v>
      </c>
      <c r="B16" s="112" t="s">
        <v>314</v>
      </c>
      <c r="C16" s="62" t="s">
        <v>1789</v>
      </c>
      <c r="D16" s="1469"/>
      <c r="E16" s="1469"/>
      <c r="F16" s="1469"/>
      <c r="G16" s="685"/>
      <c r="H16" s="685"/>
      <c r="J16" s="179"/>
    </row>
    <row r="17" spans="1:10" ht="21" customHeight="1" thickBot="1">
      <c r="A17" s="692">
        <v>5</v>
      </c>
      <c r="B17" s="112" t="s">
        <v>1986</v>
      </c>
      <c r="C17" s="62" t="s">
        <v>1789</v>
      </c>
      <c r="D17" s="1469" t="s">
        <v>1987</v>
      </c>
      <c r="E17" s="1469"/>
      <c r="F17" s="1469"/>
      <c r="G17" s="685"/>
      <c r="H17" s="685"/>
      <c r="J17" s="179"/>
    </row>
    <row r="18" spans="1:10" ht="21" customHeight="1" thickBot="1">
      <c r="A18" s="692">
        <v>6</v>
      </c>
      <c r="B18" s="112" t="s">
        <v>1986</v>
      </c>
      <c r="C18" s="62" t="s">
        <v>1789</v>
      </c>
      <c r="D18" s="1469" t="s">
        <v>1987</v>
      </c>
      <c r="E18" s="1469"/>
      <c r="F18" s="1469"/>
      <c r="G18" s="685"/>
      <c r="H18" s="685"/>
      <c r="J18" s="179"/>
    </row>
    <row r="19" spans="1:10" ht="21" customHeight="1" thickBot="1">
      <c r="A19" s="692">
        <v>7</v>
      </c>
      <c r="B19" s="112" t="s">
        <v>1986</v>
      </c>
      <c r="C19" s="62" t="s">
        <v>1984</v>
      </c>
      <c r="D19" s="1469" t="s">
        <v>1988</v>
      </c>
      <c r="E19" s="1469"/>
      <c r="F19" s="1469"/>
      <c r="G19" s="685"/>
      <c r="H19" s="685"/>
      <c r="J19" s="179"/>
    </row>
    <row r="20" spans="1:10" ht="21" customHeight="1" thickBot="1">
      <c r="A20" s="692">
        <v>8</v>
      </c>
      <c r="B20" s="112" t="s">
        <v>1989</v>
      </c>
      <c r="C20" s="62" t="s">
        <v>1789</v>
      </c>
      <c r="D20" s="1469" t="s">
        <v>1990</v>
      </c>
      <c r="E20" s="1469"/>
      <c r="F20" s="1469"/>
      <c r="G20" s="685"/>
      <c r="H20" s="685"/>
      <c r="J20" s="179"/>
    </row>
    <row r="21" spans="1:10" ht="21" customHeight="1" thickBot="1">
      <c r="A21" s="692">
        <v>9</v>
      </c>
      <c r="B21" s="112" t="s">
        <v>1991</v>
      </c>
      <c r="C21" s="62" t="s">
        <v>1789</v>
      </c>
      <c r="D21" s="1469"/>
      <c r="E21" s="1469"/>
      <c r="F21" s="1469"/>
      <c r="G21" s="685"/>
      <c r="H21" s="685"/>
      <c r="J21" s="179"/>
    </row>
    <row r="22" spans="1:10" ht="21" customHeight="1" thickBot="1">
      <c r="A22" s="692">
        <v>10</v>
      </c>
      <c r="B22" s="112" t="s">
        <v>1992</v>
      </c>
      <c r="C22" s="62" t="s">
        <v>1789</v>
      </c>
      <c r="D22" s="1469" t="s">
        <v>1993</v>
      </c>
      <c r="E22" s="1469"/>
      <c r="F22" s="1469"/>
      <c r="G22" s="685"/>
      <c r="H22" s="685"/>
      <c r="J22" s="179"/>
    </row>
    <row r="23" spans="1:10" ht="21" customHeight="1" thickBot="1">
      <c r="A23" s="692">
        <v>11</v>
      </c>
      <c r="B23" s="112" t="s">
        <v>1562</v>
      </c>
      <c r="C23" s="62" t="s">
        <v>1789</v>
      </c>
      <c r="D23" s="1469" t="s">
        <v>1994</v>
      </c>
      <c r="E23" s="1469"/>
      <c r="F23" s="1469"/>
      <c r="G23" s="685"/>
      <c r="H23" s="685"/>
      <c r="J23" s="179"/>
    </row>
    <row r="24" spans="1:10" ht="21" customHeight="1" thickBot="1">
      <c r="A24" s="692">
        <v>12</v>
      </c>
      <c r="B24" s="112" t="s">
        <v>1995</v>
      </c>
      <c r="C24" s="62" t="s">
        <v>1789</v>
      </c>
      <c r="D24" s="1469" t="s">
        <v>1996</v>
      </c>
      <c r="E24" s="1469"/>
      <c r="F24" s="1469"/>
      <c r="G24" s="685"/>
      <c r="H24" s="685"/>
      <c r="J24" s="179"/>
    </row>
    <row r="25" spans="1:10" ht="21" customHeight="1" thickBot="1">
      <c r="A25" s="692">
        <v>13</v>
      </c>
      <c r="B25" s="112"/>
      <c r="C25" s="62"/>
      <c r="D25" s="1469"/>
      <c r="E25" s="1469"/>
      <c r="F25" s="1469"/>
      <c r="G25" s="685"/>
      <c r="H25" s="685"/>
      <c r="J25" s="179"/>
    </row>
    <row r="26" spans="1:10" ht="21" customHeight="1" thickBot="1">
      <c r="A26" s="692">
        <v>14</v>
      </c>
      <c r="B26" s="112"/>
      <c r="C26" s="62"/>
      <c r="D26" s="1469"/>
      <c r="E26" s="1469"/>
      <c r="F26" s="1469"/>
      <c r="G26" s="685"/>
      <c r="H26" s="685"/>
      <c r="J26" s="179"/>
    </row>
    <row r="27" spans="1:10" ht="21" customHeight="1" thickBot="1">
      <c r="A27" s="692">
        <v>15</v>
      </c>
      <c r="B27" s="112"/>
      <c r="C27" s="62"/>
      <c r="D27" s="1469"/>
      <c r="E27" s="1469"/>
      <c r="F27" s="1469"/>
      <c r="G27" s="685"/>
      <c r="H27" s="685"/>
      <c r="J27" s="179"/>
    </row>
    <row r="28" spans="1:10" ht="19.5" thickBot="1">
      <c r="A28" s="692">
        <v>16</v>
      </c>
      <c r="B28" s="112"/>
      <c r="C28" s="62"/>
      <c r="D28" s="1469"/>
      <c r="E28" s="1469"/>
      <c r="F28" s="1469"/>
      <c r="G28" s="693" t="s">
        <v>1422</v>
      </c>
      <c r="H28" s="693"/>
      <c r="I28" s="694"/>
      <c r="J28" s="179"/>
    </row>
    <row r="29" spans="1:10" ht="19.5" thickBot="1">
      <c r="A29" s="692">
        <v>17</v>
      </c>
      <c r="B29" s="112"/>
      <c r="C29" s="62"/>
      <c r="D29" s="1469"/>
      <c r="E29" s="1469"/>
      <c r="F29" s="1469"/>
      <c r="J29" s="983"/>
    </row>
    <row r="30" spans="1:10" ht="19.5" thickBot="1">
      <c r="A30" s="692">
        <v>18</v>
      </c>
      <c r="B30" s="112"/>
      <c r="C30" s="62"/>
      <c r="D30" s="1469"/>
      <c r="E30" s="1469"/>
      <c r="F30" s="1469"/>
      <c r="J30" s="983"/>
    </row>
    <row r="31" spans="1:10" ht="19.5" thickBot="1">
      <c r="A31" s="692">
        <v>19</v>
      </c>
      <c r="B31" s="112"/>
      <c r="C31" s="62"/>
      <c r="D31" s="1469"/>
      <c r="E31" s="1469"/>
      <c r="F31" s="1469"/>
      <c r="J31" s="983"/>
    </row>
    <row r="32" spans="1:10" ht="19.5" thickBot="1">
      <c r="A32" s="692">
        <v>20</v>
      </c>
      <c r="B32" s="112"/>
      <c r="C32" s="62"/>
      <c r="D32" s="1469"/>
      <c r="E32" s="1469"/>
      <c r="F32" s="1469"/>
      <c r="J32" s="179"/>
    </row>
    <row r="33" spans="1:10" ht="6.75" customHeight="1">
      <c r="J33" s="179"/>
    </row>
    <row r="34" spans="1:10" ht="19.5" thickBot="1">
      <c r="A34" s="9" t="s">
        <v>1423</v>
      </c>
      <c r="B34" s="1035"/>
      <c r="C34" s="1036"/>
      <c r="D34" s="1035"/>
      <c r="E34" s="1035"/>
      <c r="F34" s="1035"/>
      <c r="J34" s="179"/>
    </row>
    <row r="35" spans="1:10" ht="19.5" thickBot="1">
      <c r="A35" s="1463" t="s">
        <v>1424</v>
      </c>
      <c r="B35" s="1463"/>
      <c r="C35" s="1463"/>
      <c r="D35" s="1037">
        <v>5</v>
      </c>
      <c r="E35" s="1139" t="s">
        <v>1997</v>
      </c>
      <c r="F35" s="1035"/>
      <c r="H35" s="676" t="str">
        <f>IF(AND(D35&lt;&gt;"",E35&lt;&gt;""),"○","×")</f>
        <v>○</v>
      </c>
      <c r="J35" s="179"/>
    </row>
    <row r="36" spans="1:10" ht="19.5" thickBot="1">
      <c r="A36" s="1463" t="s">
        <v>1425</v>
      </c>
      <c r="B36" s="1463"/>
      <c r="C36" s="1463"/>
      <c r="D36" s="1037">
        <v>1</v>
      </c>
      <c r="E36" s="1139" t="s">
        <v>1997</v>
      </c>
      <c r="F36" s="1035"/>
      <c r="H36" s="676" t="str">
        <f>IF(AND(D36&lt;&gt;"",E36&lt;&gt;""),"○","×")</f>
        <v>○</v>
      </c>
      <c r="J36" s="179"/>
    </row>
    <row r="37" spans="1:10" ht="6.75" customHeight="1">
      <c r="A37" s="1035"/>
      <c r="B37" s="1035"/>
      <c r="C37" s="1036"/>
      <c r="D37" s="1035"/>
      <c r="E37" s="1035"/>
      <c r="F37" s="1035"/>
      <c r="J37" s="179"/>
    </row>
    <row r="38" spans="1:10" ht="19.5" thickBot="1">
      <c r="A38" s="9" t="s">
        <v>1426</v>
      </c>
      <c r="B38" s="1035"/>
      <c r="C38" s="1036"/>
      <c r="D38" s="1035"/>
      <c r="E38" s="1035"/>
      <c r="F38" s="1035"/>
      <c r="J38" s="179"/>
    </row>
    <row r="39" spans="1:10" ht="19.5" thickBot="1">
      <c r="A39" s="1464" t="s">
        <v>1427</v>
      </c>
      <c r="B39" s="1465"/>
      <c r="C39" s="1465"/>
      <c r="D39" s="1465"/>
      <c r="E39" s="1465"/>
      <c r="F39" s="1466"/>
      <c r="J39" s="983"/>
    </row>
    <row r="40" spans="1:10" ht="12.75" customHeight="1" thickBot="1">
      <c r="A40" s="1464"/>
      <c r="B40" s="1465"/>
      <c r="C40" s="1465"/>
      <c r="D40" s="1465"/>
      <c r="E40" s="1465"/>
      <c r="F40" s="1466"/>
      <c r="J40" s="983"/>
    </row>
    <row r="41" spans="1:10" ht="19.5" thickBot="1">
      <c r="A41" s="1459" t="s">
        <v>1998</v>
      </c>
      <c r="B41" s="1467"/>
      <c r="C41" s="1467"/>
      <c r="D41" s="1467"/>
      <c r="E41" s="1467"/>
      <c r="F41" s="1468"/>
      <c r="H41" s="9" t="str">
        <f>IF(A41="","×","○")</f>
        <v>○</v>
      </c>
      <c r="J41" s="983"/>
    </row>
    <row r="42" spans="1:10" ht="19.5" thickBot="1">
      <c r="A42" s="1459"/>
      <c r="B42" s="1467"/>
      <c r="C42" s="1467"/>
      <c r="D42" s="1467"/>
      <c r="E42" s="1467"/>
      <c r="F42" s="1468"/>
      <c r="J42" s="179"/>
    </row>
    <row r="43" spans="1:10" ht="19.5" thickBot="1">
      <c r="A43" s="1464" t="s">
        <v>1428</v>
      </c>
      <c r="B43" s="1465"/>
      <c r="C43" s="1465"/>
      <c r="D43" s="1465"/>
      <c r="E43" s="1465"/>
      <c r="F43" s="1466"/>
      <c r="J43" s="179"/>
    </row>
    <row r="44" spans="1:10" ht="9.75" customHeight="1" thickBot="1">
      <c r="A44" s="1464"/>
      <c r="B44" s="1465"/>
      <c r="C44" s="1465"/>
      <c r="D44" s="1465"/>
      <c r="E44" s="1465"/>
      <c r="F44" s="1466"/>
      <c r="J44" s="983"/>
    </row>
    <row r="45" spans="1:10" ht="12" customHeight="1" thickBot="1">
      <c r="A45" s="1464"/>
      <c r="B45" s="1465"/>
      <c r="C45" s="1465"/>
      <c r="D45" s="1465"/>
      <c r="E45" s="1465"/>
      <c r="F45" s="1466"/>
      <c r="H45" s="9"/>
      <c r="J45" s="983"/>
    </row>
    <row r="46" spans="1:10" ht="19.5" thickBot="1">
      <c r="A46" s="1459" t="s">
        <v>1999</v>
      </c>
      <c r="B46" s="1460"/>
      <c r="C46" s="1460"/>
      <c r="D46" s="1460"/>
      <c r="E46" s="1460"/>
      <c r="F46" s="1461"/>
      <c r="H46" s="9" t="str">
        <f>IF(A46="","×","○")</f>
        <v>○</v>
      </c>
      <c r="J46" s="983"/>
    </row>
    <row r="47" spans="1:10" ht="19.5" thickBot="1">
      <c r="A47" s="1462"/>
      <c r="B47" s="1460"/>
      <c r="C47" s="1460"/>
      <c r="D47" s="1460"/>
      <c r="E47" s="1460"/>
      <c r="F47" s="1461"/>
      <c r="J47" s="984"/>
    </row>
  </sheetData>
  <sheetProtection selectLockedCells="1"/>
  <protectedRanges>
    <protectedRange sqref="D35" name="範囲3"/>
    <protectedRange sqref="D35" name="範囲2"/>
    <protectedRange sqref="D36" name="範囲3_1"/>
    <protectedRange sqref="D36" name="範囲2_1"/>
  </protectedRanges>
  <mergeCells count="34">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D28:F28"/>
    <mergeCell ref="D29:F29"/>
    <mergeCell ref="D30:F30"/>
    <mergeCell ref="D31:F31"/>
    <mergeCell ref="D32:F32"/>
    <mergeCell ref="A46:F47"/>
    <mergeCell ref="A35:C35"/>
    <mergeCell ref="A36:C36"/>
    <mergeCell ref="A39:F40"/>
    <mergeCell ref="A41:F42"/>
    <mergeCell ref="A43:F45"/>
  </mergeCells>
  <phoneticPr fontId="10"/>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9" style="9"/>
    <col min="26" max="26" width="2.75" style="9" customWidth="1"/>
    <col min="27" max="27" width="6" style="9" hidden="1" customWidth="1"/>
    <col min="28" max="28" width="2.25" style="61" hidden="1" customWidth="1"/>
    <col min="29" max="29" width="80.625" style="120" customWidth="1"/>
    <col min="30" max="16384" width="9" style="9"/>
  </cols>
  <sheetData>
    <row r="1" spans="1:29" ht="15.95" customHeight="1" thickBot="1">
      <c r="A1" s="1226" t="s">
        <v>1429</v>
      </c>
      <c r="B1" s="1226"/>
      <c r="C1" s="1226"/>
      <c r="D1" s="1226"/>
      <c r="E1" s="1226"/>
      <c r="F1" s="1226"/>
      <c r="G1" s="1226"/>
      <c r="H1" s="1226"/>
      <c r="I1" s="1226"/>
      <c r="J1" s="1226"/>
      <c r="K1" s="1226"/>
      <c r="L1" s="1226"/>
      <c r="M1" s="1226"/>
      <c r="N1" s="1226"/>
      <c r="O1" s="1226"/>
      <c r="P1" s="1226"/>
      <c r="Q1" s="1226"/>
      <c r="R1" s="1226"/>
      <c r="S1" s="1226"/>
      <c r="T1" s="1226"/>
      <c r="U1" s="1226"/>
      <c r="V1" s="1226"/>
      <c r="W1" s="1226"/>
      <c r="X1" s="1226"/>
      <c r="Y1" s="1226"/>
      <c r="Z1" s="696"/>
      <c r="AA1" s="696"/>
      <c r="AB1" s="97"/>
      <c r="AC1" s="697"/>
    </row>
    <row r="2" spans="1:29" ht="24.95" customHeight="1" thickTop="1" thickBot="1">
      <c r="A2" s="1338" t="s">
        <v>1348</v>
      </c>
      <c r="B2" s="1338"/>
      <c r="C2" s="1338"/>
      <c r="D2" s="1338"/>
      <c r="E2" s="1338"/>
      <c r="F2" s="1338"/>
      <c r="G2" s="1338"/>
      <c r="H2" s="1338"/>
      <c r="I2" s="1338"/>
      <c r="J2" s="1338"/>
      <c r="K2" s="1338"/>
      <c r="L2" s="1338"/>
      <c r="M2" s="1338"/>
      <c r="N2" s="1338"/>
      <c r="O2" s="1338"/>
      <c r="P2" s="1338"/>
      <c r="Q2" s="1338"/>
      <c r="R2" s="1338"/>
      <c r="S2" s="1338"/>
      <c r="T2" s="1338"/>
      <c r="U2" s="1338"/>
      <c r="V2" s="1338"/>
      <c r="W2" s="1338"/>
      <c r="X2" s="1339"/>
      <c r="Y2" s="533" t="str">
        <f>IF(COUNTIF(AA7:AA11,"×")&gt;=1,"未入力あり","入力済")</f>
        <v>入力済</v>
      </c>
      <c r="Z2" s="1234"/>
      <c r="AA2" s="594"/>
      <c r="AB2" s="97"/>
    </row>
    <row r="3" spans="1:29" ht="5.0999999999999996" customHeight="1" thickTop="1">
      <c r="A3" s="581"/>
      <c r="B3" s="581"/>
      <c r="C3" s="581"/>
      <c r="D3" s="581"/>
      <c r="E3" s="581"/>
      <c r="F3" s="581"/>
      <c r="G3" s="581"/>
      <c r="H3" s="581"/>
      <c r="I3" s="581"/>
      <c r="J3" s="581"/>
      <c r="K3" s="581"/>
      <c r="L3" s="581"/>
      <c r="M3" s="581"/>
      <c r="N3" s="581"/>
      <c r="O3" s="581"/>
      <c r="P3" s="581"/>
      <c r="Q3" s="581"/>
      <c r="R3" s="581"/>
      <c r="S3" s="581"/>
      <c r="T3" s="581"/>
      <c r="U3" s="581"/>
      <c r="V3" s="581"/>
      <c r="W3" s="581"/>
      <c r="X3" s="581"/>
      <c r="Y3" s="601"/>
      <c r="Z3" s="1234"/>
      <c r="AA3" s="594"/>
    </row>
    <row r="4" spans="1:29" ht="20.25" customHeight="1">
      <c r="A4" s="581"/>
      <c r="B4" s="581"/>
      <c r="C4" s="581"/>
      <c r="D4" s="581"/>
      <c r="E4" s="581"/>
      <c r="F4" s="536" t="s">
        <v>1222</v>
      </c>
      <c r="G4" s="1436" t="str">
        <f>表紙!E2</f>
        <v>市立豊中病院</v>
      </c>
      <c r="H4" s="1437"/>
      <c r="I4" s="1437"/>
      <c r="J4" s="1437"/>
      <c r="K4" s="1437"/>
      <c r="L4" s="1437"/>
      <c r="M4" s="1437"/>
      <c r="N4" s="1437"/>
      <c r="O4" s="1437"/>
      <c r="P4" s="1437"/>
      <c r="Q4" s="1437"/>
      <c r="R4" s="1437"/>
      <c r="S4" s="1437"/>
      <c r="T4" s="1437"/>
      <c r="U4" s="1437"/>
      <c r="V4" s="1437"/>
      <c r="W4" s="1437"/>
      <c r="X4" s="1437"/>
      <c r="Y4" s="1438"/>
      <c r="Z4" s="1234"/>
      <c r="AA4" s="594"/>
      <c r="AB4" s="97"/>
    </row>
    <row r="5" spans="1:29" ht="15.75" customHeight="1">
      <c r="A5" s="581"/>
      <c r="B5" s="581"/>
      <c r="C5" s="581"/>
      <c r="D5" s="581"/>
      <c r="E5" s="581"/>
      <c r="F5" s="536" t="s">
        <v>1223</v>
      </c>
      <c r="G5" t="str">
        <f>+'事務局使用（発出時は非表示にすること）'!B3</f>
        <v>令和６年９月１日時点</v>
      </c>
      <c r="H5"/>
      <c r="I5"/>
      <c r="J5"/>
      <c r="K5"/>
      <c r="L5" s="59"/>
      <c r="M5" s="59"/>
      <c r="N5" s="698"/>
      <c r="O5" s="698"/>
      <c r="P5" s="698"/>
      <c r="Q5" s="698"/>
      <c r="R5" s="698"/>
      <c r="S5" s="698"/>
      <c r="T5" s="698"/>
      <c r="U5" s="640"/>
      <c r="V5" s="640"/>
      <c r="W5" s="640"/>
      <c r="X5" s="640"/>
      <c r="Y5" s="640"/>
      <c r="Z5" s="1234"/>
      <c r="AA5" s="594"/>
      <c r="AB5" s="120"/>
      <c r="AC5" s="188" t="s">
        <v>268</v>
      </c>
    </row>
    <row r="6" spans="1:29" ht="20.100000000000001" customHeight="1" thickBot="1">
      <c r="A6" s="581"/>
      <c r="B6" s="581"/>
      <c r="C6" s="581"/>
      <c r="D6" s="581"/>
      <c r="E6" s="581"/>
      <c r="F6" s="581"/>
      <c r="G6" s="581"/>
      <c r="H6" s="581"/>
      <c r="I6" s="581"/>
      <c r="J6" s="581"/>
      <c r="K6" s="581"/>
      <c r="L6" s="581"/>
      <c r="M6" s="581"/>
      <c r="N6" s="61"/>
      <c r="O6" s="61"/>
      <c r="P6" s="61"/>
      <c r="Q6" s="61"/>
      <c r="R6" s="61"/>
      <c r="S6" s="61"/>
      <c r="T6" s="61"/>
      <c r="U6" s="61"/>
      <c r="V6" s="61"/>
      <c r="W6" s="61"/>
      <c r="X6" s="61"/>
      <c r="Y6" s="61"/>
      <c r="Z6" s="61"/>
      <c r="AA6" s="61"/>
      <c r="AC6" s="87"/>
    </row>
    <row r="7" spans="1:29" ht="18" customHeight="1" thickBot="1">
      <c r="A7" s="1404">
        <v>1</v>
      </c>
      <c r="B7" s="1114" t="s">
        <v>1430</v>
      </c>
      <c r="C7" s="1115"/>
      <c r="D7" s="1115"/>
      <c r="E7" s="1115"/>
      <c r="F7" s="1116"/>
      <c r="G7" s="1116"/>
      <c r="H7" s="1117"/>
      <c r="I7" s="1478" t="s">
        <v>1936</v>
      </c>
      <c r="J7" s="1479"/>
      <c r="K7" s="1479"/>
      <c r="L7" s="1479"/>
      <c r="M7" s="1480"/>
      <c r="N7" s="1495" t="s">
        <v>573</v>
      </c>
      <c r="O7" s="1496"/>
      <c r="P7" s="1496"/>
      <c r="Q7" s="1496"/>
      <c r="R7" s="1496"/>
      <c r="S7" s="1496"/>
      <c r="T7" s="1496"/>
      <c r="U7" s="1118"/>
      <c r="V7" s="1046"/>
      <c r="W7" s="1046"/>
      <c r="X7" s="1046"/>
      <c r="Y7" s="1119"/>
      <c r="Z7" s="1016"/>
      <c r="AA7" s="699" t="str">
        <f>IF(I7="","×","○")</f>
        <v>○</v>
      </c>
      <c r="AC7" s="175"/>
    </row>
    <row r="8" spans="1:29" ht="18" customHeight="1" thickBot="1">
      <c r="A8" s="1406"/>
      <c r="B8" s="700" t="s">
        <v>1431</v>
      </c>
      <c r="C8" s="701"/>
      <c r="D8" s="701"/>
      <c r="E8" s="701"/>
      <c r="F8" s="636"/>
      <c r="G8" s="636"/>
      <c r="H8" s="637"/>
      <c r="I8" s="1478" t="s">
        <v>1936</v>
      </c>
      <c r="J8" s="1479"/>
      <c r="K8" s="1479"/>
      <c r="L8" s="1479"/>
      <c r="M8" s="1480"/>
      <c r="N8" s="1481" t="s">
        <v>573</v>
      </c>
      <c r="O8" s="1482"/>
      <c r="P8" s="1482"/>
      <c r="Q8" s="1482"/>
      <c r="R8" s="1482"/>
      <c r="S8" s="1482"/>
      <c r="T8" s="1482"/>
      <c r="U8" s="61"/>
      <c r="V8" s="59"/>
      <c r="W8" s="59"/>
      <c r="X8" s="59"/>
      <c r="Y8" s="702"/>
      <c r="Z8" s="1016"/>
      <c r="AA8" s="699" t="str">
        <f>IF(AND(I7="はい",I8=""),"×","○")</f>
        <v>○</v>
      </c>
      <c r="AC8" s="175"/>
    </row>
    <row r="9" spans="1:29" ht="31.5" customHeight="1" thickBot="1">
      <c r="A9" s="1288">
        <v>2</v>
      </c>
      <c r="B9" s="1483" t="s">
        <v>1432</v>
      </c>
      <c r="C9" s="1484"/>
      <c r="D9" s="1484"/>
      <c r="E9" s="1484"/>
      <c r="F9" s="1484"/>
      <c r="G9" s="1484"/>
      <c r="H9" s="1485"/>
      <c r="I9" s="1478" t="s">
        <v>1934</v>
      </c>
      <c r="J9" s="1479"/>
      <c r="K9" s="1479"/>
      <c r="L9" s="1479"/>
      <c r="M9" s="1480"/>
      <c r="N9" s="1481" t="s">
        <v>573</v>
      </c>
      <c r="O9" s="1482"/>
      <c r="P9" s="1482"/>
      <c r="Q9" s="1482"/>
      <c r="R9" s="1482"/>
      <c r="S9" s="1482"/>
      <c r="T9" s="1482"/>
      <c r="V9" s="59"/>
      <c r="W9" s="59"/>
      <c r="X9" s="59"/>
      <c r="Y9" s="702"/>
      <c r="Z9" s="61"/>
      <c r="AA9" s="699" t="str">
        <f>IF(AND(I7="はい",I9=""),"×","○")</f>
        <v>○</v>
      </c>
      <c r="AC9" s="175"/>
    </row>
    <row r="10" spans="1:29" ht="13.5">
      <c r="A10" s="1289"/>
      <c r="B10" s="614" t="s">
        <v>1433</v>
      </c>
      <c r="C10" s="615"/>
      <c r="D10" s="615"/>
      <c r="E10" s="615"/>
      <c r="F10" s="615"/>
      <c r="G10" s="615"/>
      <c r="H10" s="615"/>
      <c r="I10" s="703"/>
      <c r="J10" s="703"/>
      <c r="K10" s="703"/>
      <c r="L10" s="703"/>
      <c r="M10" s="703"/>
      <c r="N10" s="615"/>
      <c r="O10" s="615"/>
      <c r="P10" s="615"/>
      <c r="Q10" s="615"/>
      <c r="R10" s="615"/>
      <c r="S10" s="615"/>
      <c r="T10" s="615"/>
      <c r="U10" s="615"/>
      <c r="V10" s="615"/>
      <c r="W10" s="615"/>
      <c r="X10" s="628"/>
      <c r="Y10" s="702"/>
      <c r="Z10" s="61"/>
      <c r="AA10" s="704"/>
      <c r="AC10" s="87"/>
    </row>
    <row r="11" spans="1:29">
      <c r="A11" s="1289"/>
      <c r="B11" s="1486"/>
      <c r="C11" s="1487"/>
      <c r="D11" s="1487"/>
      <c r="E11" s="1487"/>
      <c r="F11" s="1487"/>
      <c r="G11" s="1487"/>
      <c r="H11" s="1487"/>
      <c r="I11" s="1487"/>
      <c r="J11" s="1487"/>
      <c r="K11" s="1487"/>
      <c r="L11" s="1487"/>
      <c r="M11" s="1487"/>
      <c r="N11" s="1487"/>
      <c r="O11" s="1487"/>
      <c r="P11" s="1487"/>
      <c r="Q11" s="1487"/>
      <c r="R11" s="1487"/>
      <c r="S11" s="1487"/>
      <c r="T11" s="1487"/>
      <c r="U11" s="1487"/>
      <c r="V11" s="1487"/>
      <c r="W11" s="1487"/>
      <c r="X11" s="1488"/>
      <c r="Y11" s="705"/>
      <c r="Z11" s="61"/>
      <c r="AA11" s="704" t="str">
        <f>IF(AND(I9="はい",B11=""),"×","○")</f>
        <v>○</v>
      </c>
      <c r="AC11" s="87"/>
    </row>
    <row r="12" spans="1:29">
      <c r="A12" s="1289"/>
      <c r="B12" s="1489"/>
      <c r="C12" s="1490"/>
      <c r="D12" s="1490"/>
      <c r="E12" s="1490"/>
      <c r="F12" s="1490"/>
      <c r="G12" s="1490"/>
      <c r="H12" s="1490"/>
      <c r="I12" s="1490"/>
      <c r="J12" s="1490"/>
      <c r="K12" s="1490"/>
      <c r="L12" s="1490"/>
      <c r="M12" s="1490"/>
      <c r="N12" s="1490"/>
      <c r="O12" s="1490"/>
      <c r="P12" s="1490"/>
      <c r="Q12" s="1490"/>
      <c r="R12" s="1490"/>
      <c r="S12" s="1490"/>
      <c r="T12" s="1490"/>
      <c r="U12" s="1490"/>
      <c r="V12" s="1490"/>
      <c r="W12" s="1490"/>
      <c r="X12" s="1491"/>
      <c r="Y12" s="705"/>
      <c r="Z12" s="61"/>
      <c r="AA12" s="61"/>
      <c r="AC12" s="87"/>
    </row>
    <row r="13" spans="1:29">
      <c r="A13" s="1289"/>
      <c r="B13" s="1489"/>
      <c r="C13" s="1490"/>
      <c r="D13" s="1490"/>
      <c r="E13" s="1490"/>
      <c r="F13" s="1490"/>
      <c r="G13" s="1490"/>
      <c r="H13" s="1490"/>
      <c r="I13" s="1490"/>
      <c r="J13" s="1490"/>
      <c r="K13" s="1490"/>
      <c r="L13" s="1490"/>
      <c r="M13" s="1490"/>
      <c r="N13" s="1490"/>
      <c r="O13" s="1490"/>
      <c r="P13" s="1490"/>
      <c r="Q13" s="1490"/>
      <c r="R13" s="1490"/>
      <c r="S13" s="1490"/>
      <c r="T13" s="1490"/>
      <c r="U13" s="1490"/>
      <c r="V13" s="1490"/>
      <c r="W13" s="1490"/>
      <c r="X13" s="1491"/>
      <c r="Y13" s="705"/>
      <c r="Z13" s="61"/>
      <c r="AA13" s="61"/>
      <c r="AC13" s="87"/>
    </row>
    <row r="14" spans="1:29">
      <c r="A14" s="1289"/>
      <c r="B14" s="1489"/>
      <c r="C14" s="1490"/>
      <c r="D14" s="1490"/>
      <c r="E14" s="1490"/>
      <c r="F14" s="1490"/>
      <c r="G14" s="1490"/>
      <c r="H14" s="1490"/>
      <c r="I14" s="1490"/>
      <c r="J14" s="1490"/>
      <c r="K14" s="1490"/>
      <c r="L14" s="1490"/>
      <c r="M14" s="1490"/>
      <c r="N14" s="1490"/>
      <c r="O14" s="1490"/>
      <c r="P14" s="1490"/>
      <c r="Q14" s="1490"/>
      <c r="R14" s="1490"/>
      <c r="S14" s="1490"/>
      <c r="T14" s="1490"/>
      <c r="U14" s="1490"/>
      <c r="V14" s="1490"/>
      <c r="W14" s="1490"/>
      <c r="X14" s="1491"/>
      <c r="Y14" s="705"/>
      <c r="Z14" s="61"/>
      <c r="AA14" s="61"/>
      <c r="AC14" s="87"/>
    </row>
    <row r="15" spans="1:29">
      <c r="A15" s="1290"/>
      <c r="B15" s="1492"/>
      <c r="C15" s="1493"/>
      <c r="D15" s="1493"/>
      <c r="E15" s="1493"/>
      <c r="F15" s="1493"/>
      <c r="G15" s="1493"/>
      <c r="H15" s="1493"/>
      <c r="I15" s="1493"/>
      <c r="J15" s="1493"/>
      <c r="K15" s="1493"/>
      <c r="L15" s="1493"/>
      <c r="M15" s="1493"/>
      <c r="N15" s="1493"/>
      <c r="O15" s="1493"/>
      <c r="P15" s="1493"/>
      <c r="Q15" s="1493"/>
      <c r="R15" s="1493"/>
      <c r="S15" s="1493"/>
      <c r="T15" s="1493"/>
      <c r="U15" s="1493"/>
      <c r="V15" s="1493"/>
      <c r="W15" s="1493"/>
      <c r="X15" s="1494"/>
      <c r="Y15" s="706"/>
      <c r="Z15" s="61"/>
      <c r="AA15" s="61"/>
      <c r="AC15" s="160"/>
    </row>
    <row r="16" spans="1:29">
      <c r="A16" s="61"/>
      <c r="B16" s="61"/>
      <c r="C16" s="61"/>
      <c r="D16" s="61"/>
      <c r="E16" s="61"/>
      <c r="F16" s="61"/>
      <c r="G16" s="61"/>
      <c r="H16" s="61"/>
      <c r="I16" s="61"/>
      <c r="J16" s="61"/>
      <c r="K16" s="61"/>
      <c r="L16" s="61"/>
      <c r="M16" s="61"/>
      <c r="N16" s="61"/>
      <c r="O16" s="61"/>
      <c r="P16" s="61"/>
      <c r="Q16" s="61"/>
      <c r="R16" s="61"/>
      <c r="S16" s="61"/>
      <c r="T16" s="61"/>
      <c r="U16" s="61"/>
      <c r="V16" s="61"/>
      <c r="W16" s="61"/>
      <c r="X16" s="61"/>
      <c r="Y16" s="61"/>
      <c r="Z16" s="61"/>
      <c r="AA16" s="6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10"/>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view="pageBreakPreview" zoomScaleNormal="100" zoomScaleSheetLayoutView="100" workbookViewId="0">
      <selection activeCell="B28" sqref="B28:Y28"/>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61" hidden="1" customWidth="1"/>
    <col min="29" max="29" width="80.625" style="120" customWidth="1"/>
    <col min="30" max="16384" width="9" style="9"/>
  </cols>
  <sheetData>
    <row r="1" spans="1:29" ht="15.95" customHeight="1" thickBot="1">
      <c r="A1" s="1226" t="s">
        <v>1434</v>
      </c>
      <c r="B1" s="1226"/>
      <c r="C1" s="1226"/>
      <c r="D1" s="1226"/>
      <c r="E1" s="1226"/>
      <c r="F1" s="1226"/>
      <c r="G1" s="1226"/>
      <c r="H1" s="1226"/>
      <c r="I1" s="1226"/>
      <c r="J1" s="1226"/>
      <c r="K1" s="1226"/>
      <c r="L1" s="1226"/>
      <c r="M1" s="1226"/>
      <c r="N1" s="1226"/>
      <c r="O1" s="1226"/>
      <c r="P1" s="1226"/>
      <c r="Q1" s="1226"/>
      <c r="R1" s="1226"/>
      <c r="S1" s="1226"/>
      <c r="T1" s="1226"/>
      <c r="U1" s="1226"/>
      <c r="V1" s="1226"/>
      <c r="W1" s="1226"/>
      <c r="X1" s="1226"/>
      <c r="Y1" s="1226"/>
      <c r="Z1" s="696"/>
      <c r="AA1" s="696"/>
      <c r="AB1" s="97"/>
      <c r="AC1" s="697"/>
    </row>
    <row r="2" spans="1:29" ht="24.95" customHeight="1" thickTop="1" thickBot="1">
      <c r="A2" s="1338" t="s">
        <v>1348</v>
      </c>
      <c r="B2" s="1338"/>
      <c r="C2" s="1338"/>
      <c r="D2" s="1338"/>
      <c r="E2" s="1338"/>
      <c r="F2" s="1338"/>
      <c r="G2" s="1338"/>
      <c r="H2" s="1338"/>
      <c r="I2" s="1338"/>
      <c r="J2" s="1338"/>
      <c r="K2" s="1338"/>
      <c r="L2" s="1338"/>
      <c r="M2" s="1338"/>
      <c r="N2" s="1338"/>
      <c r="O2" s="1338"/>
      <c r="P2" s="1338"/>
      <c r="Q2" s="1338"/>
      <c r="R2" s="1338"/>
      <c r="S2" s="1338"/>
      <c r="T2" s="1338"/>
      <c r="U2" s="1338"/>
      <c r="V2" s="1338"/>
      <c r="W2" s="1338"/>
      <c r="X2" s="1339"/>
      <c r="Y2" s="533" t="str">
        <f>IF(COUNTIF(AA6:AA28,"×")&gt;=1,"未入力あり","入力済")</f>
        <v>入力済</v>
      </c>
      <c r="Z2" s="1234"/>
      <c r="AA2" s="594"/>
      <c r="AB2" s="97"/>
    </row>
    <row r="3" spans="1:29" ht="5.0999999999999996" customHeight="1" thickTop="1">
      <c r="A3" s="581"/>
      <c r="B3" s="581"/>
      <c r="C3" s="581"/>
      <c r="D3" s="581"/>
      <c r="E3" s="581"/>
      <c r="F3" s="581"/>
      <c r="G3" s="581"/>
      <c r="H3" s="581"/>
      <c r="I3" s="581"/>
      <c r="J3" s="581"/>
      <c r="K3" s="581"/>
      <c r="L3" s="581"/>
      <c r="M3" s="581"/>
      <c r="N3" s="581"/>
      <c r="O3" s="581"/>
      <c r="P3" s="581"/>
      <c r="Q3" s="581"/>
      <c r="R3" s="581"/>
      <c r="S3" s="581"/>
      <c r="T3" s="581"/>
      <c r="U3" s="581"/>
      <c r="V3" s="581"/>
      <c r="W3" s="581"/>
      <c r="X3" s="581"/>
      <c r="Y3" s="601"/>
      <c r="Z3" s="1234"/>
      <c r="AA3" s="594"/>
    </row>
    <row r="4" spans="1:29" ht="20.25" customHeight="1">
      <c r="A4" s="581"/>
      <c r="B4" s="581"/>
      <c r="C4" s="581"/>
      <c r="D4" s="581"/>
      <c r="E4" s="581"/>
      <c r="F4" s="536" t="s">
        <v>1222</v>
      </c>
      <c r="G4" s="1436" t="str">
        <f>表紙!E2</f>
        <v>市立豊中病院</v>
      </c>
      <c r="H4" s="1437"/>
      <c r="I4" s="1437"/>
      <c r="J4" s="1437"/>
      <c r="K4" s="1437"/>
      <c r="L4" s="1437"/>
      <c r="M4" s="1437"/>
      <c r="N4" s="1437"/>
      <c r="O4" s="1437"/>
      <c r="P4" s="1437"/>
      <c r="Q4" s="1437"/>
      <c r="R4" s="1437"/>
      <c r="S4" s="1437"/>
      <c r="T4" s="1437"/>
      <c r="U4" s="1437"/>
      <c r="V4" s="1437"/>
      <c r="W4" s="1437"/>
      <c r="X4" s="1437"/>
      <c r="Y4" s="1438"/>
      <c r="Z4" s="1234"/>
      <c r="AA4" s="594"/>
      <c r="AB4" s="97"/>
    </row>
    <row r="5" spans="1:29" ht="15.75" customHeight="1">
      <c r="A5" s="581"/>
      <c r="B5" s="581"/>
      <c r="C5" s="581"/>
      <c r="D5" s="581"/>
      <c r="E5" s="581"/>
      <c r="F5" s="536" t="s">
        <v>1223</v>
      </c>
      <c r="G5" t="str">
        <f>+'事務局使用（発出時は非表示にすること）'!B3</f>
        <v>令和６年９月１日時点</v>
      </c>
      <c r="H5"/>
      <c r="I5"/>
      <c r="J5"/>
      <c r="K5"/>
      <c r="L5"/>
      <c r="M5"/>
      <c r="N5" s="639"/>
      <c r="O5" s="639"/>
      <c r="P5" s="639"/>
      <c r="Q5" s="639"/>
      <c r="R5" s="640"/>
      <c r="S5" s="640"/>
      <c r="T5" s="640"/>
      <c r="U5" s="640"/>
      <c r="V5" s="640"/>
      <c r="W5" s="640"/>
      <c r="X5" s="640"/>
      <c r="Y5" s="640"/>
      <c r="Z5" s="1234"/>
      <c r="AA5" s="594"/>
      <c r="AB5" s="120"/>
      <c r="AC5" s="188" t="s">
        <v>268</v>
      </c>
    </row>
    <row r="6" spans="1:29" ht="20.100000000000001" customHeight="1" thickBot="1">
      <c r="A6" s="581"/>
      <c r="B6" s="581"/>
      <c r="C6" s="581"/>
      <c r="D6" s="581"/>
      <c r="E6" s="581"/>
      <c r="F6" s="581"/>
      <c r="G6" s="581"/>
      <c r="H6" s="581"/>
      <c r="I6" s="581"/>
      <c r="J6" s="581"/>
      <c r="K6" s="581"/>
      <c r="L6" s="581"/>
      <c r="M6" s="581"/>
      <c r="N6" s="581"/>
      <c r="O6" s="581"/>
      <c r="P6" s="707"/>
      <c r="Q6" s="707"/>
      <c r="R6" s="707"/>
      <c r="S6" s="707"/>
      <c r="T6" s="707"/>
      <c r="U6" s="707"/>
      <c r="V6" s="581"/>
      <c r="W6" s="581"/>
      <c r="X6" s="581"/>
      <c r="Y6" s="581"/>
      <c r="AC6" s="175"/>
    </row>
    <row r="7" spans="1:29" ht="18" customHeight="1" thickBot="1">
      <c r="A7" s="1277">
        <v>1</v>
      </c>
      <c r="B7" s="1114" t="s">
        <v>1435</v>
      </c>
      <c r="C7" s="1115"/>
      <c r="D7" s="1115"/>
      <c r="E7" s="1115"/>
      <c r="F7" s="1116"/>
      <c r="G7" s="1116"/>
      <c r="H7" s="1116"/>
      <c r="I7" s="1115"/>
      <c r="J7" s="1115"/>
      <c r="K7" s="1115"/>
      <c r="L7" s="1115"/>
      <c r="M7" s="1115"/>
      <c r="N7" s="1115"/>
      <c r="O7" s="1115"/>
      <c r="P7" s="708"/>
      <c r="Q7" s="1478" t="s">
        <v>1936</v>
      </c>
      <c r="R7" s="1479"/>
      <c r="S7" s="1479"/>
      <c r="T7" s="1479"/>
      <c r="U7" s="1480"/>
      <c r="V7" s="1108" t="s">
        <v>1436</v>
      </c>
      <c r="W7" s="1108"/>
      <c r="X7" s="1108"/>
      <c r="Y7" s="1109"/>
      <c r="Z7" s="1017"/>
      <c r="AA7" s="9" t="str">
        <f>IF(Q7="","×","○")</f>
        <v>○</v>
      </c>
      <c r="AC7" s="87"/>
    </row>
    <row r="8" spans="1:29" ht="18" customHeight="1">
      <c r="A8" s="1269"/>
      <c r="B8" s="1114" t="s">
        <v>1437</v>
      </c>
      <c r="C8" s="1115"/>
      <c r="D8" s="1115"/>
      <c r="E8" s="1115"/>
      <c r="F8" s="1116"/>
      <c r="G8" s="1116"/>
      <c r="H8" s="1116"/>
      <c r="I8" s="1116"/>
      <c r="J8" s="1116"/>
      <c r="K8" s="1116"/>
      <c r="L8" s="1116"/>
      <c r="M8" s="1116"/>
      <c r="N8" s="1116"/>
      <c r="O8" s="1116"/>
      <c r="P8" s="620"/>
      <c r="Q8" s="620"/>
      <c r="R8" s="620"/>
      <c r="S8" s="620"/>
      <c r="T8" s="620"/>
      <c r="U8" s="620"/>
      <c r="V8" s="1116"/>
      <c r="W8" s="1116"/>
      <c r="X8" s="1116"/>
      <c r="Y8" s="1120"/>
      <c r="Z8" s="549"/>
      <c r="AA8" s="672"/>
      <c r="AC8" s="87"/>
    </row>
    <row r="9" spans="1:29" ht="18" customHeight="1" thickBot="1">
      <c r="A9" s="1269"/>
      <c r="B9" s="709" t="s">
        <v>1438</v>
      </c>
      <c r="C9" s="710" t="s">
        <v>1439</v>
      </c>
      <c r="D9" s="710"/>
      <c r="E9" s="710"/>
      <c r="F9" s="711"/>
      <c r="G9" s="711"/>
      <c r="H9" s="711"/>
      <c r="I9" s="711"/>
      <c r="J9" s="711"/>
      <c r="K9" s="711"/>
      <c r="L9" s="711"/>
      <c r="M9" s="711"/>
      <c r="N9" s="711"/>
      <c r="O9" s="711"/>
      <c r="P9" s="711"/>
      <c r="Q9" s="711"/>
      <c r="R9" s="711"/>
      <c r="S9" s="711"/>
      <c r="T9" s="711"/>
      <c r="U9" s="711"/>
      <c r="V9" s="711"/>
      <c r="W9" s="711"/>
      <c r="X9" s="711"/>
      <c r="Y9" s="712"/>
      <c r="Z9" s="549"/>
      <c r="AA9" s="672"/>
      <c r="AC9" s="87"/>
    </row>
    <row r="10" spans="1:29" ht="53.25" customHeight="1" thickBot="1">
      <c r="A10" s="1269"/>
      <c r="B10" s="1500" t="s">
        <v>2000</v>
      </c>
      <c r="C10" s="1501"/>
      <c r="D10" s="1501"/>
      <c r="E10" s="1501"/>
      <c r="F10" s="1501"/>
      <c r="G10" s="1501"/>
      <c r="H10" s="1501"/>
      <c r="I10" s="1501"/>
      <c r="J10" s="1501"/>
      <c r="K10" s="1501"/>
      <c r="L10" s="1501"/>
      <c r="M10" s="1501"/>
      <c r="N10" s="1501"/>
      <c r="O10" s="1501"/>
      <c r="P10" s="1501"/>
      <c r="Q10" s="1501"/>
      <c r="R10" s="1501"/>
      <c r="S10" s="1501"/>
      <c r="T10" s="1501"/>
      <c r="U10" s="1501"/>
      <c r="V10" s="1501"/>
      <c r="W10" s="1501"/>
      <c r="X10" s="1501"/>
      <c r="Y10" s="1502"/>
      <c r="Z10" s="549"/>
      <c r="AA10" s="672" t="str">
        <f>IF(AND(Q7="はい",B10=""),"×","○")</f>
        <v>○</v>
      </c>
      <c r="AC10" s="87"/>
    </row>
    <row r="11" spans="1:29" ht="18" customHeight="1" thickBot="1">
      <c r="A11" s="1269"/>
      <c r="B11" s="1018" t="s">
        <v>1440</v>
      </c>
      <c r="C11" s="713"/>
      <c r="D11" s="713"/>
      <c r="E11" s="713"/>
      <c r="F11" s="620"/>
      <c r="G11" s="620"/>
      <c r="H11" s="621"/>
      <c r="I11" s="714"/>
      <c r="J11" s="714"/>
      <c r="K11" s="714"/>
      <c r="L11" s="714"/>
      <c r="M11" s="714"/>
      <c r="N11" s="714"/>
      <c r="O11" s="713"/>
      <c r="P11" s="620"/>
      <c r="Q11" s="620"/>
      <c r="R11" s="620"/>
      <c r="S11" s="715"/>
      <c r="T11" s="714"/>
      <c r="U11" s="713"/>
      <c r="V11" s="620"/>
      <c r="W11" s="620"/>
      <c r="X11" s="620"/>
      <c r="Y11" s="715"/>
      <c r="Z11" s="1017"/>
      <c r="AA11" s="672"/>
      <c r="AC11" s="87"/>
    </row>
    <row r="12" spans="1:29" ht="53.25" customHeight="1" thickBot="1">
      <c r="A12" s="1497"/>
      <c r="B12" s="1507"/>
      <c r="C12" s="1501"/>
      <c r="D12" s="1501"/>
      <c r="E12" s="1501"/>
      <c r="F12" s="1501"/>
      <c r="G12" s="1501"/>
      <c r="H12" s="1501"/>
      <c r="I12" s="1501"/>
      <c r="J12" s="1501"/>
      <c r="K12" s="1501"/>
      <c r="L12" s="1501"/>
      <c r="M12" s="1501"/>
      <c r="N12" s="1501"/>
      <c r="O12" s="1501"/>
      <c r="P12" s="1501"/>
      <c r="Q12" s="1501"/>
      <c r="R12" s="1501"/>
      <c r="S12" s="1501"/>
      <c r="T12" s="1501"/>
      <c r="U12" s="1501"/>
      <c r="V12" s="1501"/>
      <c r="W12" s="1501"/>
      <c r="X12" s="1501"/>
      <c r="Y12" s="1502"/>
      <c r="Z12" s="549"/>
      <c r="AA12" s="672" t="str">
        <f>IF(AND(Q7="いいえ",B12=""),"×","○")</f>
        <v>○</v>
      </c>
      <c r="AC12" s="87"/>
    </row>
    <row r="13" spans="1:29" ht="18" customHeight="1" thickBot="1">
      <c r="A13" s="1498">
        <v>2</v>
      </c>
      <c r="B13" s="1018" t="s">
        <v>1441</v>
      </c>
      <c r="C13" s="713"/>
      <c r="D13" s="713"/>
      <c r="E13" s="713"/>
      <c r="F13" s="620"/>
      <c r="G13" s="620"/>
      <c r="H13" s="620"/>
      <c r="I13" s="713"/>
      <c r="J13" s="713"/>
      <c r="K13" s="713"/>
      <c r="L13" s="713"/>
      <c r="M13" s="713"/>
      <c r="N13" s="713"/>
      <c r="O13" s="713"/>
      <c r="P13" s="713"/>
      <c r="Q13" s="1478" t="s">
        <v>1936</v>
      </c>
      <c r="R13" s="1479"/>
      <c r="S13" s="1479"/>
      <c r="T13" s="1479"/>
      <c r="U13" s="1480"/>
      <c r="V13" s="532" t="s">
        <v>1436</v>
      </c>
      <c r="W13" s="532"/>
      <c r="X13" s="532"/>
      <c r="Y13" s="643"/>
      <c r="Z13" s="1017"/>
      <c r="AA13" s="9" t="str">
        <f>IF(Q13="","×","○")</f>
        <v>○</v>
      </c>
      <c r="AC13" s="87"/>
    </row>
    <row r="14" spans="1:29" ht="18" customHeight="1" thickBot="1">
      <c r="A14" s="1498"/>
      <c r="B14" s="1114" t="s">
        <v>1442</v>
      </c>
      <c r="C14" s="1115"/>
      <c r="D14" s="1115"/>
      <c r="E14" s="1115"/>
      <c r="F14" s="1116"/>
      <c r="G14" s="1116"/>
      <c r="H14" s="1116"/>
      <c r="I14" s="1116"/>
      <c r="J14" s="1116"/>
      <c r="K14" s="1116"/>
      <c r="L14" s="1116"/>
      <c r="M14" s="1116"/>
      <c r="N14" s="1116"/>
      <c r="O14" s="1116"/>
      <c r="P14" s="1116"/>
      <c r="Q14" s="620"/>
      <c r="R14" s="620"/>
      <c r="S14" s="620"/>
      <c r="T14" s="620"/>
      <c r="U14" s="620"/>
      <c r="V14" s="1116"/>
      <c r="W14" s="1116"/>
      <c r="X14" s="1116"/>
      <c r="Y14" s="1120"/>
      <c r="Z14" s="1017"/>
      <c r="AA14" s="672"/>
      <c r="AC14" s="87"/>
    </row>
    <row r="15" spans="1:29" ht="53.25" customHeight="1" thickBot="1">
      <c r="A15" s="1499"/>
      <c r="B15" s="1500" t="s">
        <v>2001</v>
      </c>
      <c r="C15" s="1501"/>
      <c r="D15" s="1501"/>
      <c r="E15" s="1501"/>
      <c r="F15" s="1501"/>
      <c r="G15" s="1501"/>
      <c r="H15" s="1501"/>
      <c r="I15" s="1501"/>
      <c r="J15" s="1501"/>
      <c r="K15" s="1501"/>
      <c r="L15" s="1501"/>
      <c r="M15" s="1501"/>
      <c r="N15" s="1501"/>
      <c r="O15" s="1501"/>
      <c r="P15" s="1501"/>
      <c r="Q15" s="1501"/>
      <c r="R15" s="1501"/>
      <c r="S15" s="1501"/>
      <c r="T15" s="1501"/>
      <c r="U15" s="1501"/>
      <c r="V15" s="1501"/>
      <c r="W15" s="1501"/>
      <c r="X15" s="1501"/>
      <c r="Y15" s="1502"/>
      <c r="Z15" s="549"/>
      <c r="AA15" s="672" t="str">
        <f>IF(AND(Q13="はい",B15=""),"×","○")</f>
        <v>○</v>
      </c>
      <c r="AC15" s="87"/>
    </row>
    <row r="16" spans="1:29" ht="18" customHeight="1" thickBot="1">
      <c r="A16" s="1498">
        <v>3</v>
      </c>
      <c r="B16" s="1018" t="s">
        <v>1443</v>
      </c>
      <c r="C16" s="713"/>
      <c r="D16" s="713"/>
      <c r="E16" s="713"/>
      <c r="F16" s="620"/>
      <c r="G16" s="620"/>
      <c r="H16" s="620"/>
      <c r="I16" s="713"/>
      <c r="J16" s="713"/>
      <c r="K16" s="713"/>
      <c r="L16" s="713"/>
      <c r="M16" s="713"/>
      <c r="N16" s="713"/>
      <c r="O16" s="713"/>
      <c r="P16" s="713"/>
      <c r="Q16" s="1478" t="s">
        <v>1936</v>
      </c>
      <c r="R16" s="1479"/>
      <c r="S16" s="1479"/>
      <c r="T16" s="1479"/>
      <c r="U16" s="1480"/>
      <c r="V16" s="1505" t="s">
        <v>1436</v>
      </c>
      <c r="W16" s="1505"/>
      <c r="X16" s="1505"/>
      <c r="Y16" s="1506"/>
      <c r="Z16" s="1017"/>
      <c r="AA16" s="9" t="str">
        <f>IF(Q16="","×","○")</f>
        <v>○</v>
      </c>
      <c r="AC16" s="87"/>
    </row>
    <row r="17" spans="1:29" ht="18" customHeight="1" thickBot="1">
      <c r="A17" s="1498"/>
      <c r="B17" s="1114" t="s">
        <v>1444</v>
      </c>
      <c r="C17" s="1115"/>
      <c r="D17" s="1115"/>
      <c r="E17" s="1115"/>
      <c r="F17" s="1116"/>
      <c r="G17" s="1116"/>
      <c r="H17" s="1116"/>
      <c r="I17" s="1116"/>
      <c r="J17" s="1116"/>
      <c r="K17" s="1116"/>
      <c r="L17" s="1116"/>
      <c r="M17" s="1116"/>
      <c r="N17" s="1116"/>
      <c r="O17" s="1116"/>
      <c r="P17" s="1116"/>
      <c r="Q17" s="620"/>
      <c r="R17" s="620"/>
      <c r="S17" s="620"/>
      <c r="T17" s="620"/>
      <c r="U17" s="620"/>
      <c r="V17" s="1116"/>
      <c r="W17" s="1116"/>
      <c r="X17" s="1116"/>
      <c r="Y17" s="1120"/>
      <c r="AC17" s="87"/>
    </row>
    <row r="18" spans="1:29" ht="53.25" customHeight="1" thickBot="1">
      <c r="A18" s="1499"/>
      <c r="B18" s="1500" t="s">
        <v>2002</v>
      </c>
      <c r="C18" s="1503"/>
      <c r="D18" s="1503"/>
      <c r="E18" s="1503"/>
      <c r="F18" s="1503"/>
      <c r="G18" s="1503"/>
      <c r="H18" s="1503"/>
      <c r="I18" s="1503"/>
      <c r="J18" s="1503"/>
      <c r="K18" s="1503"/>
      <c r="L18" s="1503"/>
      <c r="M18" s="1503"/>
      <c r="N18" s="1503"/>
      <c r="O18" s="1503"/>
      <c r="P18" s="1503"/>
      <c r="Q18" s="1503"/>
      <c r="R18" s="1503"/>
      <c r="S18" s="1503"/>
      <c r="T18" s="1503"/>
      <c r="U18" s="1503"/>
      <c r="V18" s="1503"/>
      <c r="W18" s="1503"/>
      <c r="X18" s="1503"/>
      <c r="Y18" s="1504"/>
      <c r="Z18" s="549"/>
      <c r="AA18" s="672" t="str">
        <f>IF(AND(Q16="はい",B18=""),"×","○")</f>
        <v>○</v>
      </c>
      <c r="AC18" s="87"/>
    </row>
    <row r="19" spans="1:29" ht="18" customHeight="1" thickBot="1">
      <c r="A19" s="1277">
        <v>4</v>
      </c>
      <c r="B19" s="1114" t="s">
        <v>1445</v>
      </c>
      <c r="C19" s="1115"/>
      <c r="D19" s="1115"/>
      <c r="E19" s="1115"/>
      <c r="F19" s="1116"/>
      <c r="G19" s="1116"/>
      <c r="H19" s="1116"/>
      <c r="I19" s="1116"/>
      <c r="J19" s="1116"/>
      <c r="K19" s="1116"/>
      <c r="L19" s="1116"/>
      <c r="M19" s="1116"/>
      <c r="N19" s="1116"/>
      <c r="O19" s="1116"/>
      <c r="P19" s="1116"/>
      <c r="Q19" s="620"/>
      <c r="R19" s="620"/>
      <c r="S19" s="620"/>
      <c r="T19" s="620"/>
      <c r="U19" s="620"/>
      <c r="V19" s="1116"/>
      <c r="W19" s="1116"/>
      <c r="X19" s="1116"/>
      <c r="Y19" s="1120"/>
      <c r="AC19" s="87"/>
    </row>
    <row r="20" spans="1:29" ht="53.25" customHeight="1" thickBot="1">
      <c r="A20" s="1497"/>
      <c r="B20" s="1500" t="s">
        <v>2003</v>
      </c>
      <c r="C20" s="1501"/>
      <c r="D20" s="1501"/>
      <c r="E20" s="1501"/>
      <c r="F20" s="1501"/>
      <c r="G20" s="1501"/>
      <c r="H20" s="1501"/>
      <c r="I20" s="1501"/>
      <c r="J20" s="1501"/>
      <c r="K20" s="1501"/>
      <c r="L20" s="1501"/>
      <c r="M20" s="1501"/>
      <c r="N20" s="1501"/>
      <c r="O20" s="1501"/>
      <c r="P20" s="1501"/>
      <c r="Q20" s="1501"/>
      <c r="R20" s="1501"/>
      <c r="S20" s="1501"/>
      <c r="T20" s="1501"/>
      <c r="U20" s="1501"/>
      <c r="V20" s="1501"/>
      <c r="W20" s="1501"/>
      <c r="X20" s="1501"/>
      <c r="Y20" s="1502"/>
      <c r="Z20" s="549"/>
      <c r="AC20" s="87"/>
    </row>
    <row r="21" spans="1:29" ht="18" customHeight="1" thickBot="1">
      <c r="A21" s="1277">
        <v>5</v>
      </c>
      <c r="B21" s="1114" t="s">
        <v>1446</v>
      </c>
      <c r="C21" s="1115"/>
      <c r="D21" s="1115"/>
      <c r="E21" s="1115"/>
      <c r="F21" s="1116"/>
      <c r="G21" s="1116"/>
      <c r="H21" s="1116"/>
      <c r="I21" s="1116"/>
      <c r="J21" s="1116"/>
      <c r="K21" s="1116"/>
      <c r="L21" s="1116"/>
      <c r="M21" s="1116"/>
      <c r="N21" s="1116"/>
      <c r="O21" s="1116"/>
      <c r="P21" s="1116"/>
      <c r="Q21" s="620"/>
      <c r="R21" s="620"/>
      <c r="S21" s="620"/>
      <c r="T21" s="620"/>
      <c r="U21" s="620"/>
      <c r="V21" s="1116"/>
      <c r="W21" s="1116"/>
      <c r="X21" s="1116"/>
      <c r="Y21" s="1120"/>
      <c r="AC21" s="87"/>
    </row>
    <row r="22" spans="1:29" ht="53.25" customHeight="1" thickBot="1">
      <c r="A22" s="1497"/>
      <c r="B22" s="1508" t="s">
        <v>2004</v>
      </c>
      <c r="C22" s="1511"/>
      <c r="D22" s="1511"/>
      <c r="E22" s="1511"/>
      <c r="F22" s="1511"/>
      <c r="G22" s="1511"/>
      <c r="H22" s="1511"/>
      <c r="I22" s="1511"/>
      <c r="J22" s="1511"/>
      <c r="K22" s="1511"/>
      <c r="L22" s="1511"/>
      <c r="M22" s="1511"/>
      <c r="N22" s="1511"/>
      <c r="O22" s="1511"/>
      <c r="P22" s="1511"/>
      <c r="Q22" s="1511"/>
      <c r="R22" s="1511"/>
      <c r="S22" s="1511"/>
      <c r="T22" s="1511"/>
      <c r="U22" s="1511"/>
      <c r="V22" s="1511"/>
      <c r="W22" s="1511"/>
      <c r="X22" s="1511"/>
      <c r="Y22" s="1512"/>
      <c r="Z22" s="549"/>
      <c r="AC22" s="87"/>
    </row>
    <row r="23" spans="1:29" ht="18" customHeight="1" thickBot="1">
      <c r="A23" s="1277">
        <v>6</v>
      </c>
      <c r="B23" s="1114" t="s">
        <v>1447</v>
      </c>
      <c r="C23" s="1115"/>
      <c r="D23" s="1115"/>
      <c r="E23" s="1115"/>
      <c r="F23" s="1121"/>
      <c r="G23" s="1121"/>
      <c r="H23" s="1121"/>
      <c r="I23" s="1121"/>
      <c r="J23" s="1121"/>
      <c r="K23" s="1121"/>
      <c r="L23" s="1121"/>
      <c r="M23" s="1121"/>
      <c r="N23" s="1121"/>
      <c r="O23" s="1121"/>
      <c r="P23" s="1121"/>
      <c r="Q23" s="716"/>
      <c r="R23" s="716"/>
      <c r="S23" s="716"/>
      <c r="T23" s="716"/>
      <c r="U23" s="716"/>
      <c r="V23" s="1121"/>
      <c r="W23" s="1121"/>
      <c r="X23" s="1121"/>
      <c r="Y23" s="1122"/>
      <c r="AC23" s="87"/>
    </row>
    <row r="24" spans="1:29" ht="53.25" customHeight="1" thickBot="1">
      <c r="A24" s="1497"/>
      <c r="B24" s="1508" t="s">
        <v>2005</v>
      </c>
      <c r="C24" s="1509"/>
      <c r="D24" s="1509"/>
      <c r="E24" s="1509"/>
      <c r="F24" s="1509"/>
      <c r="G24" s="1509"/>
      <c r="H24" s="1509"/>
      <c r="I24" s="1509"/>
      <c r="J24" s="1509"/>
      <c r="K24" s="1509"/>
      <c r="L24" s="1509"/>
      <c r="M24" s="1509"/>
      <c r="N24" s="1509"/>
      <c r="O24" s="1509"/>
      <c r="P24" s="1509"/>
      <c r="Q24" s="1509"/>
      <c r="R24" s="1509"/>
      <c r="S24" s="1509"/>
      <c r="T24" s="1509"/>
      <c r="U24" s="1509"/>
      <c r="V24" s="1509"/>
      <c r="W24" s="1509"/>
      <c r="X24" s="1509"/>
      <c r="Y24" s="1510"/>
      <c r="Z24" s="549"/>
      <c r="AC24" s="87"/>
    </row>
    <row r="25" spans="1:29" ht="18" customHeight="1" thickBot="1">
      <c r="A25" s="1277">
        <v>7</v>
      </c>
      <c r="B25" s="1114" t="s">
        <v>1448</v>
      </c>
      <c r="C25" s="1115"/>
      <c r="D25" s="1115"/>
      <c r="E25" s="1115"/>
      <c r="F25" s="1121"/>
      <c r="G25" s="1121"/>
      <c r="H25" s="1121"/>
      <c r="I25" s="1121"/>
      <c r="J25" s="1121"/>
      <c r="K25" s="1121"/>
      <c r="L25" s="1121"/>
      <c r="M25" s="1121"/>
      <c r="N25" s="1121"/>
      <c r="O25" s="1121"/>
      <c r="P25" s="1121"/>
      <c r="Q25" s="716"/>
      <c r="R25" s="716"/>
      <c r="S25" s="716"/>
      <c r="T25" s="716"/>
      <c r="U25" s="716"/>
      <c r="V25" s="1121"/>
      <c r="W25" s="1121"/>
      <c r="X25" s="1121"/>
      <c r="Y25" s="1122"/>
      <c r="AC25" s="87"/>
    </row>
    <row r="26" spans="1:29" ht="53.25" customHeight="1" thickBot="1">
      <c r="A26" s="1497"/>
      <c r="B26" s="1500" t="s">
        <v>2006</v>
      </c>
      <c r="C26" s="1503"/>
      <c r="D26" s="1503"/>
      <c r="E26" s="1503"/>
      <c r="F26" s="1503"/>
      <c r="G26" s="1503"/>
      <c r="H26" s="1503"/>
      <c r="I26" s="1503"/>
      <c r="J26" s="1503"/>
      <c r="K26" s="1503"/>
      <c r="L26" s="1503"/>
      <c r="M26" s="1503"/>
      <c r="N26" s="1503"/>
      <c r="O26" s="1503"/>
      <c r="P26" s="1503"/>
      <c r="Q26" s="1503"/>
      <c r="R26" s="1503"/>
      <c r="S26" s="1503"/>
      <c r="T26" s="1503"/>
      <c r="U26" s="1503"/>
      <c r="V26" s="1503"/>
      <c r="W26" s="1503"/>
      <c r="X26" s="1503"/>
      <c r="Y26" s="1504"/>
      <c r="Z26" s="549"/>
      <c r="AC26" s="87"/>
    </row>
    <row r="27" spans="1:29" ht="35.25" customHeight="1" thickBot="1">
      <c r="A27" s="1498">
        <v>8</v>
      </c>
      <c r="B27" s="1513" t="s">
        <v>1449</v>
      </c>
      <c r="C27" s="1465"/>
      <c r="D27" s="1465"/>
      <c r="E27" s="1465"/>
      <c r="F27" s="1465"/>
      <c r="G27" s="1465"/>
      <c r="H27" s="1465"/>
      <c r="I27" s="1465"/>
      <c r="J27" s="1465"/>
      <c r="K27" s="1465"/>
      <c r="L27" s="1465"/>
      <c r="M27" s="1465"/>
      <c r="N27" s="1465"/>
      <c r="O27" s="1465"/>
      <c r="P27" s="1465"/>
      <c r="Q27" s="1465"/>
      <c r="R27" s="1465"/>
      <c r="S27" s="1465"/>
      <c r="T27" s="1465"/>
      <c r="U27" s="1465"/>
      <c r="V27" s="1465"/>
      <c r="W27" s="1465"/>
      <c r="X27" s="1465"/>
      <c r="Y27" s="1514"/>
      <c r="Z27" s="1017"/>
      <c r="AA27" s="549"/>
      <c r="AC27" s="87"/>
    </row>
    <row r="28" spans="1:29" ht="53.25" customHeight="1" thickBot="1">
      <c r="A28" s="1499"/>
      <c r="B28" s="1500" t="s">
        <v>2007</v>
      </c>
      <c r="C28" s="1501"/>
      <c r="D28" s="1501"/>
      <c r="E28" s="1501"/>
      <c r="F28" s="1501"/>
      <c r="G28" s="1501"/>
      <c r="H28" s="1501"/>
      <c r="I28" s="1501"/>
      <c r="J28" s="1501"/>
      <c r="K28" s="1501"/>
      <c r="L28" s="1501"/>
      <c r="M28" s="1501"/>
      <c r="N28" s="1501"/>
      <c r="O28" s="1501"/>
      <c r="P28" s="1501"/>
      <c r="Q28" s="1501"/>
      <c r="R28" s="1501"/>
      <c r="S28" s="1501"/>
      <c r="T28" s="1501"/>
      <c r="U28" s="1501"/>
      <c r="V28" s="1501"/>
      <c r="W28" s="1501"/>
      <c r="X28" s="1501"/>
      <c r="Y28" s="1502"/>
      <c r="Z28" s="549"/>
      <c r="AA28" s="9" t="str">
        <f>IF(B28="","×","○")</f>
        <v>○</v>
      </c>
      <c r="AC28" s="160"/>
    </row>
  </sheetData>
  <sheetProtection selectLockedCells="1"/>
  <mergeCells count="26">
    <mergeCell ref="A1:Y1"/>
    <mergeCell ref="A2:X2"/>
    <mergeCell ref="A21:A22"/>
    <mergeCell ref="A23:A24"/>
    <mergeCell ref="A19:A20"/>
    <mergeCell ref="A25:A26"/>
    <mergeCell ref="A27:A28"/>
    <mergeCell ref="B24:Y24"/>
    <mergeCell ref="B20:Y20"/>
    <mergeCell ref="B26:Y26"/>
    <mergeCell ref="B22:Y22"/>
    <mergeCell ref="B28:Y28"/>
    <mergeCell ref="B27:Y27"/>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10"/>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zoomScaleNormal="100" zoomScaleSheetLayoutView="100" workbookViewId="0">
      <selection activeCell="D34" sqref="D34:E36"/>
    </sheetView>
  </sheetViews>
  <sheetFormatPr defaultColWidth="9" defaultRowHeight="13.5"/>
  <cols>
    <col min="1" max="1" width="5.625" style="640" customWidth="1"/>
    <col min="2" max="2" width="34.25" style="640" customWidth="1"/>
    <col min="3" max="6" width="20.625" style="640" customWidth="1"/>
    <col min="7" max="7" width="11.375" style="640" customWidth="1"/>
    <col min="8" max="8" width="2.625" style="640" customWidth="1"/>
    <col min="9" max="10" width="6" style="640" hidden="1" customWidth="1"/>
    <col min="11" max="11" width="2.25" style="698" hidden="1" customWidth="1"/>
    <col min="12" max="12" width="82.75" style="759" bestFit="1" customWidth="1"/>
    <col min="13" max="14" width="0" style="640" hidden="1" customWidth="1"/>
    <col min="15" max="16384" width="9" style="640"/>
  </cols>
  <sheetData>
    <row r="1" spans="1:14" s="718" customFormat="1" ht="20.25" customHeight="1" thickBot="1">
      <c r="A1" s="1516" t="s">
        <v>1450</v>
      </c>
      <c r="B1" s="1516"/>
      <c r="C1" s="1516"/>
      <c r="D1" s="1516"/>
      <c r="E1" s="1516"/>
      <c r="F1" s="1516"/>
      <c r="G1" s="1516"/>
      <c r="H1" s="717"/>
      <c r="I1" s="717"/>
      <c r="K1" s="97"/>
      <c r="L1" s="719"/>
    </row>
    <row r="2" spans="1:14" s="718" customFormat="1" ht="24.95" customHeight="1" thickTop="1" thickBot="1">
      <c r="A2" s="1228" t="s">
        <v>1348</v>
      </c>
      <c r="B2" s="1228"/>
      <c r="C2" s="1228"/>
      <c r="D2" s="1228"/>
      <c r="E2" s="1228"/>
      <c r="F2" s="1248"/>
      <c r="G2" s="533" t="str">
        <f>IF(COUNTIF(I8:J36,"×")&gt;=1,"未入力あり","入力済")</f>
        <v>入力済</v>
      </c>
      <c r="H2" s="720"/>
      <c r="I2" s="721"/>
      <c r="J2" s="1515"/>
      <c r="K2" s="97"/>
      <c r="L2" s="719"/>
    </row>
    <row r="3" spans="1:14" s="718" customFormat="1" ht="5.0999999999999996" customHeight="1" thickTop="1">
      <c r="A3" s="722"/>
      <c r="B3" s="722"/>
      <c r="C3" s="722"/>
      <c r="D3" s="722"/>
      <c r="E3" s="722"/>
      <c r="F3" s="722"/>
      <c r="G3" s="723"/>
      <c r="H3" s="723"/>
      <c r="I3" s="723"/>
      <c r="J3" s="1515"/>
      <c r="K3" s="61"/>
      <c r="L3" s="719"/>
    </row>
    <row r="4" spans="1:14" s="718" customFormat="1" ht="20.25" customHeight="1">
      <c r="A4" s="722"/>
      <c r="B4" s="722"/>
      <c r="C4" s="722"/>
      <c r="D4" s="724" t="s">
        <v>1451</v>
      </c>
      <c r="E4" s="1519" t="str">
        <f>表紙!E2</f>
        <v>市立豊中病院</v>
      </c>
      <c r="F4" s="1520"/>
      <c r="G4" s="1521"/>
      <c r="H4" s="725"/>
      <c r="I4" s="725"/>
      <c r="J4" s="1515"/>
      <c r="K4" s="97"/>
      <c r="L4" s="719"/>
    </row>
    <row r="5" spans="1:14" s="718" customFormat="1" ht="20.25" customHeight="1">
      <c r="A5" s="722"/>
      <c r="B5" s="722"/>
      <c r="C5" s="722"/>
      <c r="D5" s="1228" t="str">
        <f>+"期間："&amp;'事務局使用（発出時は非表示にすること）'!B4</f>
        <v>期間：令和５年１月１日～12月31日</v>
      </c>
      <c r="E5" s="1228"/>
      <c r="F5" s="1123"/>
      <c r="J5" s="726"/>
      <c r="K5" s="97"/>
      <c r="L5" s="719"/>
    </row>
    <row r="6" spans="1:14" s="718" customFormat="1" ht="22.5" customHeight="1">
      <c r="A6" s="1517"/>
      <c r="B6" s="1517"/>
      <c r="C6" s="1517"/>
      <c r="D6" s="1517"/>
      <c r="E6" s="1517"/>
      <c r="F6" s="1517"/>
      <c r="G6" s="1517"/>
      <c r="H6" s="727"/>
      <c r="I6" s="727"/>
      <c r="J6" s="728"/>
      <c r="K6" s="729"/>
      <c r="L6" s="730" t="s">
        <v>268</v>
      </c>
    </row>
    <row r="7" spans="1:14" s="718" customFormat="1" ht="69.95" customHeight="1" thickBot="1">
      <c r="A7" s="1522" t="s">
        <v>1452</v>
      </c>
      <c r="B7" s="1522"/>
      <c r="C7" s="1522"/>
      <c r="D7" s="1522"/>
      <c r="E7" s="1522"/>
      <c r="F7" s="1522"/>
      <c r="G7" s="1522"/>
      <c r="H7" s="727"/>
      <c r="I7" s="727"/>
      <c r="J7" s="728"/>
      <c r="K7" s="729"/>
      <c r="L7" s="180"/>
    </row>
    <row r="8" spans="1:14" s="718" customFormat="1" ht="20.100000000000001" customHeight="1" thickBot="1">
      <c r="A8" s="1" t="s">
        <v>1453</v>
      </c>
      <c r="C8" s="335">
        <v>1606</v>
      </c>
      <c r="D8" s="731" t="s">
        <v>494</v>
      </c>
      <c r="I8" s="718" t="str">
        <f>IF(C8="","×","○")</f>
        <v>○</v>
      </c>
      <c r="J8" s="728"/>
      <c r="K8" s="729"/>
      <c r="L8" s="180"/>
      <c r="M8" s="732">
        <v>0</v>
      </c>
      <c r="N8" s="732">
        <v>9400</v>
      </c>
    </row>
    <row r="9" spans="1:14" ht="46.5" customHeight="1">
      <c r="A9" s="981" t="s">
        <v>1454</v>
      </c>
      <c r="B9" s="3"/>
      <c r="D9" s="733"/>
      <c r="E9" s="733"/>
      <c r="F9" s="733"/>
      <c r="G9" s="733"/>
      <c r="H9" s="733"/>
      <c r="I9" s="733"/>
      <c r="J9" s="639"/>
      <c r="L9" s="180"/>
    </row>
    <row r="10" spans="1:14" ht="20.25" customHeight="1" thickBot="1">
      <c r="A10" s="734"/>
      <c r="B10" s="735" t="s">
        <v>1455</v>
      </c>
      <c r="C10" s="736" t="s">
        <v>1456</v>
      </c>
      <c r="D10" s="733"/>
      <c r="E10" s="733"/>
      <c r="F10" s="733"/>
      <c r="L10" s="180"/>
    </row>
    <row r="11" spans="1:14" ht="20.25" customHeight="1" thickBot="1">
      <c r="A11" s="734">
        <v>1</v>
      </c>
      <c r="B11" s="735" t="s">
        <v>1457</v>
      </c>
      <c r="C11" s="335">
        <v>674</v>
      </c>
      <c r="D11" s="733"/>
      <c r="E11" s="733"/>
      <c r="F11" s="733"/>
      <c r="I11" s="718" t="str">
        <f>IF(C11="","×","○")</f>
        <v>○</v>
      </c>
      <c r="L11" s="180"/>
      <c r="M11" s="737">
        <v>0</v>
      </c>
      <c r="N11" s="738">
        <v>10000</v>
      </c>
    </row>
    <row r="12" spans="1:14" s="718" customFormat="1" ht="20.25" customHeight="1" thickBot="1">
      <c r="A12" s="734">
        <v>2</v>
      </c>
      <c r="B12" s="735" t="s">
        <v>1458</v>
      </c>
      <c r="C12" s="335">
        <v>109</v>
      </c>
      <c r="D12" s="733"/>
      <c r="E12" s="733"/>
      <c r="F12" s="733"/>
      <c r="I12" s="718" t="str">
        <f>IF(C12="","×","○")</f>
        <v>○</v>
      </c>
      <c r="K12" s="739"/>
      <c r="L12" s="180"/>
      <c r="M12" s="732">
        <v>0</v>
      </c>
      <c r="N12" s="740">
        <v>2000</v>
      </c>
    </row>
    <row r="13" spans="1:14" s="718" customFormat="1" ht="20.25" customHeight="1" thickBot="1">
      <c r="A13" s="734">
        <v>3</v>
      </c>
      <c r="B13" s="735" t="s">
        <v>1459</v>
      </c>
      <c r="C13" s="335">
        <v>3</v>
      </c>
      <c r="D13" s="733"/>
      <c r="E13" s="733"/>
      <c r="F13" s="733"/>
      <c r="I13" s="718" t="str">
        <f>IF(C13="","×","○")</f>
        <v>○</v>
      </c>
      <c r="J13" s="741"/>
      <c r="K13" s="742"/>
      <c r="L13" s="180"/>
      <c r="M13" s="732">
        <v>0</v>
      </c>
      <c r="N13" s="740">
        <v>1500</v>
      </c>
    </row>
    <row r="14" spans="1:14" s="718" customFormat="1" ht="20.25" customHeight="1">
      <c r="A14" s="743"/>
      <c r="B14" s="744" t="s">
        <v>1460</v>
      </c>
      <c r="C14" s="745">
        <f>SUM(C11:C13)</f>
        <v>786</v>
      </c>
      <c r="D14" s="733"/>
      <c r="E14" s="733"/>
      <c r="F14" s="733"/>
      <c r="J14" s="741"/>
      <c r="K14" s="742"/>
      <c r="L14" s="180"/>
    </row>
    <row r="15" spans="1:14" s="718" customFormat="1" ht="20.100000000000001" customHeight="1">
      <c r="A15" s="746" t="s">
        <v>1461</v>
      </c>
      <c r="B15" s="9"/>
      <c r="C15" s="9"/>
      <c r="D15" s="722"/>
      <c r="E15" s="722"/>
      <c r="F15" s="722"/>
      <c r="G15" s="722"/>
      <c r="H15" s="722"/>
      <c r="I15" s="722"/>
      <c r="J15" s="741"/>
      <c r="K15" s="742"/>
      <c r="L15" s="181"/>
    </row>
    <row r="16" spans="1:14" s="718" customFormat="1" ht="46.5" customHeight="1">
      <c r="A16" s="1518" t="s">
        <v>1462</v>
      </c>
      <c r="B16" s="1518"/>
      <c r="C16" s="1518"/>
      <c r="D16" s="1518"/>
      <c r="E16" s="1518"/>
      <c r="F16" s="1518"/>
      <c r="G16" s="1518"/>
      <c r="H16" s="978"/>
      <c r="I16" s="747"/>
      <c r="J16" s="741"/>
      <c r="K16" s="742"/>
      <c r="L16" s="181"/>
    </row>
    <row r="17" spans="1:14">
      <c r="J17" s="741" t="s">
        <v>1463</v>
      </c>
      <c r="K17" s="742"/>
      <c r="L17" s="181"/>
    </row>
    <row r="18" spans="1:14" s="718" customFormat="1" ht="20.25" customHeight="1" thickBot="1">
      <c r="A18" s="748"/>
      <c r="B18" s="749" t="s">
        <v>1464</v>
      </c>
      <c r="C18" s="750" t="s">
        <v>1465</v>
      </c>
      <c r="D18" s="1527" t="s">
        <v>1464</v>
      </c>
      <c r="E18" s="1528"/>
      <c r="F18" s="750" t="s">
        <v>1465</v>
      </c>
      <c r="J18" s="741"/>
      <c r="K18" s="742"/>
      <c r="L18" s="181"/>
    </row>
    <row r="19" spans="1:14" s="718" customFormat="1" ht="21" customHeight="1" thickBot="1">
      <c r="A19" s="751"/>
      <c r="B19" s="752" t="s">
        <v>1466</v>
      </c>
      <c r="C19" s="335">
        <v>253</v>
      </c>
      <c r="D19" s="752" t="s">
        <v>1467</v>
      </c>
      <c r="E19" s="752"/>
      <c r="F19" s="335">
        <v>76</v>
      </c>
      <c r="I19" s="718" t="str">
        <f t="shared" ref="I19:I25" si="0">IF(C19="","×","○")</f>
        <v>○</v>
      </c>
      <c r="J19" s="718" t="str">
        <f>IF(F19="","×","○")</f>
        <v>○</v>
      </c>
      <c r="K19" s="742"/>
      <c r="L19" s="181"/>
      <c r="M19" s="732">
        <v>0</v>
      </c>
      <c r="N19" s="740">
        <v>3000</v>
      </c>
    </row>
    <row r="20" spans="1:14" s="718" customFormat="1" ht="20.25" customHeight="1" thickBot="1">
      <c r="A20" s="751"/>
      <c r="B20" s="752" t="s">
        <v>1468</v>
      </c>
      <c r="C20" s="335">
        <v>23</v>
      </c>
      <c r="D20" s="752" t="s">
        <v>1469</v>
      </c>
      <c r="E20" s="752"/>
      <c r="F20" s="335">
        <v>272</v>
      </c>
      <c r="I20" s="718" t="str">
        <f t="shared" si="0"/>
        <v>○</v>
      </c>
      <c r="J20" s="718" t="str">
        <f t="shared" ref="J20:J33" si="1">IF(F20="","×","○")</f>
        <v>○</v>
      </c>
      <c r="K20" s="742"/>
      <c r="L20" s="181"/>
      <c r="M20" s="732">
        <v>0</v>
      </c>
      <c r="N20" s="740">
        <v>3000</v>
      </c>
    </row>
    <row r="21" spans="1:14" s="718" customFormat="1" ht="20.25" customHeight="1" thickBot="1">
      <c r="A21" s="751"/>
      <c r="B21" s="752" t="s">
        <v>1470</v>
      </c>
      <c r="C21" s="335">
        <v>144</v>
      </c>
      <c r="D21" s="1525" t="s">
        <v>1471</v>
      </c>
      <c r="E21" s="1526"/>
      <c r="F21" s="335">
        <v>139</v>
      </c>
      <c r="I21" s="718" t="str">
        <f t="shared" si="0"/>
        <v>○</v>
      </c>
      <c r="J21" s="718" t="str">
        <f t="shared" si="1"/>
        <v>○</v>
      </c>
      <c r="K21" s="742"/>
      <c r="L21" s="181"/>
      <c r="M21" s="732">
        <v>0</v>
      </c>
      <c r="N21" s="740">
        <v>3000</v>
      </c>
    </row>
    <row r="22" spans="1:14" s="718" customFormat="1" ht="20.25" customHeight="1" thickBot="1">
      <c r="A22" s="751"/>
      <c r="B22" s="753" t="s">
        <v>1472</v>
      </c>
      <c r="C22" s="335">
        <v>20</v>
      </c>
      <c r="D22" s="1525" t="s">
        <v>1473</v>
      </c>
      <c r="E22" s="1526"/>
      <c r="F22" s="335">
        <v>2</v>
      </c>
      <c r="I22" s="718" t="str">
        <f t="shared" si="0"/>
        <v>○</v>
      </c>
      <c r="J22" s="718" t="str">
        <f t="shared" si="1"/>
        <v>○</v>
      </c>
      <c r="K22" s="742"/>
      <c r="L22" s="181"/>
      <c r="M22" s="732">
        <v>0</v>
      </c>
      <c r="N22" s="740">
        <v>3000</v>
      </c>
    </row>
    <row r="23" spans="1:14" s="718" customFormat="1" ht="20.25" customHeight="1" thickBot="1">
      <c r="A23" s="751"/>
      <c r="B23" s="753" t="s">
        <v>1474</v>
      </c>
      <c r="C23" s="335">
        <v>47</v>
      </c>
      <c r="D23" s="754" t="s">
        <v>1475</v>
      </c>
      <c r="E23" s="755"/>
      <c r="F23" s="335">
        <v>586</v>
      </c>
      <c r="I23" s="718" t="str">
        <f t="shared" si="0"/>
        <v>○</v>
      </c>
      <c r="J23" s="718" t="str">
        <f t="shared" si="1"/>
        <v>○</v>
      </c>
      <c r="K23" s="742"/>
      <c r="L23" s="182"/>
      <c r="M23" s="732">
        <v>0</v>
      </c>
      <c r="N23" s="740">
        <v>3000</v>
      </c>
    </row>
    <row r="24" spans="1:14" s="718" customFormat="1" ht="20.25" customHeight="1" thickBot="1">
      <c r="A24" s="751"/>
      <c r="B24" s="753" t="s">
        <v>1476</v>
      </c>
      <c r="C24" s="335">
        <v>2</v>
      </c>
      <c r="D24" s="754" t="s">
        <v>1477</v>
      </c>
      <c r="E24" s="755"/>
      <c r="F24" s="335">
        <v>1</v>
      </c>
      <c r="I24" s="718" t="str">
        <f t="shared" si="0"/>
        <v>○</v>
      </c>
      <c r="J24" s="718" t="str">
        <f t="shared" si="1"/>
        <v>○</v>
      </c>
      <c r="K24" s="742"/>
      <c r="L24" s="181"/>
      <c r="M24" s="732">
        <v>0</v>
      </c>
      <c r="N24" s="740">
        <v>3000</v>
      </c>
    </row>
    <row r="25" spans="1:14" s="718" customFormat="1" ht="24" customHeight="1" thickBot="1">
      <c r="A25" s="751"/>
      <c r="B25" s="753" t="s">
        <v>1478</v>
      </c>
      <c r="C25" s="335">
        <v>0</v>
      </c>
      <c r="D25" s="754" t="s">
        <v>1479</v>
      </c>
      <c r="E25" s="752"/>
      <c r="F25" s="335">
        <v>26</v>
      </c>
      <c r="I25" s="718" t="str">
        <f t="shared" si="0"/>
        <v>○</v>
      </c>
      <c r="J25" s="718" t="str">
        <f t="shared" si="1"/>
        <v>○</v>
      </c>
      <c r="K25" s="742"/>
      <c r="L25" s="181"/>
      <c r="M25" s="732">
        <v>0</v>
      </c>
      <c r="N25" s="740">
        <v>3000</v>
      </c>
    </row>
    <row r="26" spans="1:14" s="718" customFormat="1" ht="24" customHeight="1" thickBot="1">
      <c r="A26" s="751"/>
      <c r="B26" s="752" t="s">
        <v>1480</v>
      </c>
      <c r="C26" s="335">
        <v>44</v>
      </c>
      <c r="D26" s="754" t="s">
        <v>1481</v>
      </c>
      <c r="E26" s="752"/>
      <c r="F26" s="335">
        <v>145</v>
      </c>
      <c r="I26" s="718" t="str">
        <f t="shared" ref="I26:I36" si="2">IF(C26="","×","○")</f>
        <v>○</v>
      </c>
      <c r="J26" s="718" t="str">
        <f t="shared" si="1"/>
        <v>○</v>
      </c>
      <c r="K26" s="742"/>
      <c r="L26" s="181"/>
      <c r="M26" s="732">
        <v>0</v>
      </c>
      <c r="N26" s="740">
        <v>3000</v>
      </c>
    </row>
    <row r="27" spans="1:14" s="718" customFormat="1" ht="24" customHeight="1" thickBot="1">
      <c r="A27" s="751"/>
      <c r="B27" s="752" t="s">
        <v>1482</v>
      </c>
      <c r="C27" s="335">
        <v>3</v>
      </c>
      <c r="D27" s="754" t="s">
        <v>1483</v>
      </c>
      <c r="E27" s="752"/>
      <c r="F27" s="335">
        <v>11</v>
      </c>
      <c r="I27" s="718" t="str">
        <f t="shared" si="2"/>
        <v>○</v>
      </c>
      <c r="J27" s="718" t="str">
        <f t="shared" si="1"/>
        <v>○</v>
      </c>
      <c r="K27" s="742"/>
      <c r="L27" s="181"/>
      <c r="M27" s="732">
        <v>0</v>
      </c>
      <c r="N27" s="740">
        <v>3000</v>
      </c>
    </row>
    <row r="28" spans="1:14" s="718" customFormat="1" ht="24" customHeight="1" thickBot="1">
      <c r="A28" s="751"/>
      <c r="B28" s="752" t="s">
        <v>1484</v>
      </c>
      <c r="C28" s="335">
        <v>10</v>
      </c>
      <c r="D28" s="754" t="s">
        <v>1485</v>
      </c>
      <c r="E28" s="752"/>
      <c r="F28" s="335">
        <v>69</v>
      </c>
      <c r="I28" s="718" t="str">
        <f t="shared" si="2"/>
        <v>○</v>
      </c>
      <c r="J28" s="718" t="str">
        <f t="shared" si="1"/>
        <v>○</v>
      </c>
      <c r="K28" s="742"/>
      <c r="L28" s="181"/>
      <c r="M28" s="732">
        <v>0</v>
      </c>
      <c r="N28" s="740">
        <v>3000</v>
      </c>
    </row>
    <row r="29" spans="1:14" s="718" customFormat="1" ht="24" customHeight="1" thickBot="1">
      <c r="A29" s="751"/>
      <c r="B29" s="752" t="s">
        <v>1486</v>
      </c>
      <c r="C29" s="335">
        <v>7</v>
      </c>
      <c r="D29" s="754" t="s">
        <v>1487</v>
      </c>
      <c r="E29" s="752"/>
      <c r="F29" s="335">
        <v>68</v>
      </c>
      <c r="I29" s="718" t="str">
        <f t="shared" si="2"/>
        <v>○</v>
      </c>
      <c r="J29" s="718" t="str">
        <f t="shared" si="1"/>
        <v>○</v>
      </c>
      <c r="K29" s="742"/>
      <c r="L29" s="181"/>
      <c r="M29" s="732">
        <v>0</v>
      </c>
      <c r="N29" s="740">
        <v>3000</v>
      </c>
    </row>
    <row r="30" spans="1:14" s="718" customFormat="1" ht="24" customHeight="1" thickBot="1">
      <c r="A30" s="751"/>
      <c r="B30" s="752" t="s">
        <v>1488</v>
      </c>
      <c r="C30" s="335">
        <v>8</v>
      </c>
      <c r="D30" s="754" t="s">
        <v>1489</v>
      </c>
      <c r="E30" s="752"/>
      <c r="F30" s="335">
        <v>9</v>
      </c>
      <c r="I30" s="718" t="str">
        <f t="shared" si="2"/>
        <v>○</v>
      </c>
      <c r="J30" s="718" t="str">
        <f t="shared" si="1"/>
        <v>○</v>
      </c>
      <c r="K30" s="742"/>
      <c r="L30" s="181"/>
      <c r="M30" s="732">
        <v>0</v>
      </c>
      <c r="N30" s="740">
        <v>3000</v>
      </c>
    </row>
    <row r="31" spans="1:14" s="718" customFormat="1" ht="24" customHeight="1" thickBot="1">
      <c r="A31" s="751"/>
      <c r="B31" s="752" t="s">
        <v>1490</v>
      </c>
      <c r="C31" s="335">
        <v>35</v>
      </c>
      <c r="D31" s="754" t="s">
        <v>1491</v>
      </c>
      <c r="E31" s="752"/>
      <c r="F31" s="335">
        <v>10</v>
      </c>
      <c r="I31" s="718" t="str">
        <f t="shared" si="2"/>
        <v>○</v>
      </c>
      <c r="J31" s="718" t="str">
        <f t="shared" si="1"/>
        <v>○</v>
      </c>
      <c r="K31" s="742"/>
      <c r="L31" s="181"/>
      <c r="M31" s="732">
        <v>0</v>
      </c>
      <c r="N31" s="740">
        <v>3000</v>
      </c>
    </row>
    <row r="32" spans="1:14" s="718" customFormat="1" ht="24" customHeight="1" thickBot="1">
      <c r="A32" s="751"/>
      <c r="B32" s="752" t="s">
        <v>1492</v>
      </c>
      <c r="C32" s="335">
        <v>42</v>
      </c>
      <c r="D32" s="754" t="s">
        <v>1493</v>
      </c>
      <c r="E32" s="752"/>
      <c r="F32" s="335">
        <v>1</v>
      </c>
      <c r="I32" s="718" t="str">
        <f t="shared" si="2"/>
        <v>○</v>
      </c>
      <c r="J32" s="718" t="str">
        <f t="shared" si="1"/>
        <v>○</v>
      </c>
      <c r="K32" s="739"/>
      <c r="L32" s="181"/>
      <c r="M32" s="732">
        <v>0</v>
      </c>
      <c r="N32" s="740">
        <v>3000</v>
      </c>
    </row>
    <row r="33" spans="1:14" s="718" customFormat="1" ht="24" customHeight="1" thickBot="1">
      <c r="A33" s="751"/>
      <c r="B33" s="752" t="s">
        <v>1494</v>
      </c>
      <c r="C33" s="335">
        <v>6</v>
      </c>
      <c r="D33" s="754" t="s">
        <v>1495</v>
      </c>
      <c r="E33" s="752"/>
      <c r="F33" s="335">
        <v>42</v>
      </c>
      <c r="I33" s="718" t="str">
        <f t="shared" si="2"/>
        <v>○</v>
      </c>
      <c r="J33" s="718" t="str">
        <f t="shared" si="1"/>
        <v>○</v>
      </c>
      <c r="K33" s="739"/>
      <c r="L33" s="181"/>
      <c r="M33" s="732">
        <v>0</v>
      </c>
      <c r="N33" s="740">
        <v>3000</v>
      </c>
    </row>
    <row r="34" spans="1:14" s="718" customFormat="1" ht="24" customHeight="1" thickBot="1">
      <c r="A34" s="751"/>
      <c r="B34" s="752" t="s">
        <v>1496</v>
      </c>
      <c r="C34" s="335">
        <v>5</v>
      </c>
      <c r="D34" s="1523" t="s">
        <v>2008</v>
      </c>
      <c r="E34" s="1524"/>
      <c r="F34" s="335">
        <v>5</v>
      </c>
      <c r="I34" s="718" t="str">
        <f t="shared" si="2"/>
        <v>○</v>
      </c>
      <c r="K34" s="739"/>
      <c r="L34" s="181"/>
      <c r="M34" s="732">
        <v>0</v>
      </c>
      <c r="N34" s="740">
        <v>3000</v>
      </c>
    </row>
    <row r="35" spans="1:14" s="718" customFormat="1" ht="24" customHeight="1" thickBot="1">
      <c r="A35" s="751"/>
      <c r="B35" s="752" t="s">
        <v>1497</v>
      </c>
      <c r="C35" s="335">
        <v>760</v>
      </c>
      <c r="D35" s="1523" t="s">
        <v>2009</v>
      </c>
      <c r="E35" s="1524"/>
      <c r="F35" s="335">
        <v>3</v>
      </c>
      <c r="I35" s="718" t="str">
        <f t="shared" si="2"/>
        <v>○</v>
      </c>
      <c r="K35" s="739"/>
      <c r="L35" s="181"/>
      <c r="M35" s="732">
        <v>0</v>
      </c>
      <c r="N35" s="740">
        <v>3000</v>
      </c>
    </row>
    <row r="36" spans="1:14" s="733" customFormat="1" ht="24" customHeight="1" thickBot="1">
      <c r="A36" s="751"/>
      <c r="B36" s="752" t="s">
        <v>1498</v>
      </c>
      <c r="C36" s="335">
        <v>720</v>
      </c>
      <c r="D36" s="1523" t="s">
        <v>2010</v>
      </c>
      <c r="E36" s="1524"/>
      <c r="F36" s="335">
        <v>34</v>
      </c>
      <c r="I36" s="718" t="str">
        <f t="shared" si="2"/>
        <v>○</v>
      </c>
      <c r="J36" s="718"/>
      <c r="K36" s="756"/>
      <c r="L36" s="181"/>
      <c r="M36" s="732">
        <v>0</v>
      </c>
      <c r="N36" s="740">
        <v>3000</v>
      </c>
    </row>
    <row r="37" spans="1:14" ht="20.25" customHeight="1">
      <c r="A37" s="722"/>
      <c r="B37" s="757"/>
      <c r="C37" s="758"/>
      <c r="D37" s="722"/>
      <c r="E37" s="722"/>
      <c r="F37" s="722"/>
      <c r="G37" s="722"/>
      <c r="H37" s="722"/>
      <c r="I37" s="722"/>
      <c r="L37" s="183"/>
    </row>
    <row r="38" spans="1:14">
      <c r="J38" s="741" t="s">
        <v>1499</v>
      </c>
      <c r="K38" s="742"/>
    </row>
    <row r="39" spans="1:14">
      <c r="J39" s="741" t="s">
        <v>1500</v>
      </c>
      <c r="K39" s="742"/>
    </row>
    <row r="40" spans="1:14">
      <c r="J40" s="741" t="s">
        <v>1501</v>
      </c>
      <c r="K40" s="742"/>
    </row>
    <row r="41" spans="1:14">
      <c r="J41" s="741" t="s">
        <v>1502</v>
      </c>
      <c r="K41" s="742"/>
    </row>
    <row r="42" spans="1:14">
      <c r="J42" s="741" t="s">
        <v>1503</v>
      </c>
      <c r="K42" s="742"/>
    </row>
    <row r="43" spans="1:14">
      <c r="J43" s="741" t="s">
        <v>1504</v>
      </c>
      <c r="K43" s="742"/>
    </row>
    <row r="44" spans="1:14">
      <c r="J44" s="741" t="s">
        <v>1463</v>
      </c>
      <c r="K44" s="742"/>
    </row>
    <row r="45" spans="1:14">
      <c r="J45" s="741" t="s">
        <v>1505</v>
      </c>
      <c r="K45" s="742"/>
    </row>
    <row r="46" spans="1:14">
      <c r="J46" s="741" t="s">
        <v>1506</v>
      </c>
      <c r="K46" s="742"/>
    </row>
    <row r="47" spans="1:14">
      <c r="J47" s="741" t="s">
        <v>1507</v>
      </c>
      <c r="K47" s="742"/>
    </row>
    <row r="48" spans="1:14">
      <c r="J48" s="741" t="s">
        <v>1508</v>
      </c>
      <c r="K48" s="742"/>
    </row>
    <row r="49" spans="10:11">
      <c r="J49" s="741" t="s">
        <v>1509</v>
      </c>
      <c r="K49" s="742"/>
    </row>
    <row r="50" spans="10:11">
      <c r="J50" s="741" t="s">
        <v>1510</v>
      </c>
      <c r="K50" s="742"/>
    </row>
    <row r="51" spans="10:11">
      <c r="J51" s="741" t="s">
        <v>1511</v>
      </c>
      <c r="K51" s="742"/>
    </row>
    <row r="52" spans="10:11">
      <c r="J52" s="741" t="s">
        <v>1512</v>
      </c>
      <c r="K52" s="742"/>
    </row>
    <row r="53" spans="10:11">
      <c r="J53" s="741" t="s">
        <v>1513</v>
      </c>
      <c r="K53" s="742"/>
    </row>
    <row r="54" spans="10:11">
      <c r="J54" s="741" t="s">
        <v>1514</v>
      </c>
      <c r="K54" s="742"/>
    </row>
    <row r="55" spans="10:11">
      <c r="J55" s="741" t="s">
        <v>1515</v>
      </c>
      <c r="K55" s="742"/>
    </row>
    <row r="56" spans="10:11">
      <c r="J56" s="741" t="s">
        <v>1516</v>
      </c>
      <c r="K56" s="742"/>
    </row>
    <row r="57" spans="10:11">
      <c r="J57" s="741" t="s">
        <v>1517</v>
      </c>
      <c r="K57" s="742"/>
    </row>
    <row r="58" spans="10:11">
      <c r="J58" s="741" t="s">
        <v>1518</v>
      </c>
      <c r="K58" s="742"/>
    </row>
    <row r="59" spans="10:11">
      <c r="J59" s="741" t="s">
        <v>1519</v>
      </c>
      <c r="K59" s="742"/>
    </row>
    <row r="60" spans="10:11">
      <c r="J60" s="741" t="s">
        <v>1520</v>
      </c>
      <c r="K60" s="742"/>
    </row>
    <row r="61" spans="10:11">
      <c r="J61" s="741" t="s">
        <v>1521</v>
      </c>
      <c r="K61" s="742"/>
    </row>
    <row r="62" spans="10:11">
      <c r="J62" s="741" t="s">
        <v>1522</v>
      </c>
      <c r="K62" s="742"/>
    </row>
    <row r="63" spans="10:11">
      <c r="J63" s="741" t="s">
        <v>1523</v>
      </c>
      <c r="K63" s="742"/>
    </row>
    <row r="64" spans="10:11">
      <c r="J64" s="741" t="s">
        <v>1524</v>
      </c>
      <c r="K64" s="742"/>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D5:E5"/>
    <mergeCell ref="A7:G7"/>
  </mergeCells>
  <phoneticPr fontId="10"/>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zoomScaleNormal="100" zoomScaleSheetLayoutView="100" workbookViewId="0">
      <selection activeCell="C18" sqref="C18"/>
    </sheetView>
  </sheetViews>
  <sheetFormatPr defaultColWidth="9" defaultRowHeight="13.5"/>
  <cols>
    <col min="1" max="1" width="3.625" style="581" customWidth="1"/>
    <col min="2" max="2" width="35.625" style="581" customWidth="1"/>
    <col min="3" max="4" width="10.625" style="581" customWidth="1"/>
    <col min="5" max="13" width="2.625" style="581" customWidth="1"/>
    <col min="14" max="14" width="1.625" style="581" customWidth="1"/>
    <col min="15" max="22" width="2.625" style="581" customWidth="1"/>
    <col min="23" max="23" width="10.625" style="581" customWidth="1"/>
    <col min="24" max="24" width="2.625" style="640" customWidth="1"/>
    <col min="25" max="25" width="6" style="640" hidden="1" customWidth="1"/>
    <col min="26" max="26" width="2.25" style="556" hidden="1" customWidth="1"/>
    <col min="27" max="27" width="82.75" style="759" bestFit="1" customWidth="1"/>
    <col min="28" max="28" width="10.875" style="581" customWidth="1"/>
    <col min="29" max="29" width="20.125" style="581" customWidth="1"/>
    <col min="30" max="32" width="9" style="581"/>
    <col min="33" max="33" width="8.875" style="581" customWidth="1"/>
    <col min="34" max="16384" width="9" style="581"/>
  </cols>
  <sheetData>
    <row r="1" spans="1:38" s="760" customFormat="1" ht="22.5" customHeight="1" thickBot="1">
      <c r="A1" s="1536" t="s">
        <v>1525</v>
      </c>
      <c r="B1" s="1536"/>
      <c r="C1" s="1536"/>
      <c r="D1" s="1536"/>
      <c r="E1" s="1536"/>
      <c r="F1" s="1536"/>
      <c r="G1" s="1536"/>
      <c r="H1" s="1536"/>
      <c r="I1" s="1536"/>
      <c r="J1" s="1536"/>
      <c r="K1" s="1536"/>
      <c r="L1" s="1536"/>
      <c r="M1" s="1536"/>
      <c r="N1" s="1536"/>
      <c r="O1" s="1536"/>
      <c r="P1" s="1536"/>
      <c r="Q1" s="1536"/>
      <c r="R1" s="1536"/>
      <c r="S1" s="1536"/>
      <c r="T1" s="1536"/>
      <c r="U1" s="1536"/>
      <c r="V1" s="1536"/>
      <c r="W1" s="1536"/>
      <c r="Z1" s="97"/>
      <c r="AA1" s="719"/>
      <c r="AB1" s="761"/>
      <c r="AC1" s="762"/>
      <c r="AD1" s="763"/>
      <c r="AE1" s="763"/>
      <c r="AF1" s="763"/>
      <c r="AG1" s="763"/>
      <c r="AH1" s="763"/>
      <c r="AI1" s="763"/>
      <c r="AJ1" s="763"/>
      <c r="AK1" s="763"/>
    </row>
    <row r="2" spans="1:38" s="760" customFormat="1" ht="24.95" customHeight="1" thickTop="1" thickBot="1">
      <c r="A2" s="1228" t="s">
        <v>1348</v>
      </c>
      <c r="B2" s="1228"/>
      <c r="C2" s="1228"/>
      <c r="D2" s="1228"/>
      <c r="E2" s="1228"/>
      <c r="F2" s="1228"/>
      <c r="G2" s="1228"/>
      <c r="H2" s="1228"/>
      <c r="I2" s="1228"/>
      <c r="J2" s="1228"/>
      <c r="K2" s="1228"/>
      <c r="L2" s="1228"/>
      <c r="M2" s="1228"/>
      <c r="N2" s="1228"/>
      <c r="O2" s="1228"/>
      <c r="P2" s="1228"/>
      <c r="Q2" s="1228"/>
      <c r="R2" s="1228"/>
      <c r="S2" s="1228"/>
      <c r="T2" s="1228"/>
      <c r="U2" s="1228"/>
      <c r="V2" s="1248"/>
      <c r="W2" s="533" t="str">
        <f>IF(COUNTIF(Y6:Y18,"×")&gt;=1,"未入力あり","入力済")</f>
        <v>入力済</v>
      </c>
      <c r="X2" s="764"/>
      <c r="Y2" s="764"/>
      <c r="Z2" s="97"/>
      <c r="AA2" s="765"/>
      <c r="AB2" s="761"/>
      <c r="AC2" s="762"/>
      <c r="AD2" s="763"/>
      <c r="AE2" s="763"/>
      <c r="AF2" s="763"/>
      <c r="AG2" s="763"/>
      <c r="AH2" s="763"/>
      <c r="AI2" s="763"/>
      <c r="AJ2" s="763"/>
      <c r="AK2" s="763"/>
    </row>
    <row r="3" spans="1:38" s="760" customFormat="1" ht="5.0999999999999996" customHeight="1" thickTop="1">
      <c r="B3" s="766" t="s">
        <v>515</v>
      </c>
      <c r="C3" s="766"/>
      <c r="D3" s="766"/>
      <c r="E3" s="766"/>
      <c r="F3" s="766"/>
      <c r="G3" s="766"/>
      <c r="H3" s="766"/>
      <c r="I3" s="766"/>
      <c r="J3" s="766"/>
      <c r="K3" s="766"/>
      <c r="L3" s="766"/>
      <c r="M3" s="766"/>
      <c r="N3" s="766"/>
      <c r="O3" s="766"/>
      <c r="P3" s="766"/>
      <c r="Q3" s="766"/>
      <c r="R3" s="766"/>
      <c r="S3" s="766"/>
      <c r="T3" s="766"/>
      <c r="U3" s="766"/>
      <c r="V3" s="766"/>
      <c r="W3" s="766"/>
      <c r="X3" s="718"/>
      <c r="Y3" s="718"/>
      <c r="Z3" s="61"/>
      <c r="AA3" s="765"/>
      <c r="AB3" s="766"/>
      <c r="AF3" s="1532"/>
      <c r="AG3" s="1532"/>
      <c r="AH3" s="1532"/>
      <c r="AI3" s="1532"/>
      <c r="AJ3" s="1532"/>
      <c r="AK3" s="1532"/>
      <c r="AL3" s="1532"/>
    </row>
    <row r="4" spans="1:38" ht="20.25" customHeight="1">
      <c r="D4" s="596" t="s">
        <v>1222</v>
      </c>
      <c r="E4" s="1229" t="str">
        <f>表紙!E2</f>
        <v>市立豊中病院</v>
      </c>
      <c r="F4" s="1533"/>
      <c r="G4" s="1533"/>
      <c r="H4" s="1533"/>
      <c r="I4" s="1533"/>
      <c r="J4" s="1533"/>
      <c r="K4" s="1533"/>
      <c r="L4" s="1533"/>
      <c r="M4" s="1533"/>
      <c r="N4" s="1533"/>
      <c r="O4" s="1533"/>
      <c r="P4" s="1533"/>
      <c r="Q4" s="1533"/>
      <c r="R4" s="1533"/>
      <c r="S4" s="1533"/>
      <c r="T4" s="1533"/>
      <c r="U4" s="1533"/>
      <c r="V4" s="1533"/>
      <c r="W4" s="1230"/>
      <c r="X4" s="718"/>
      <c r="Y4" s="718"/>
      <c r="Z4" s="97"/>
    </row>
    <row r="5" spans="1:38" ht="20.25" customHeight="1" thickBot="1">
      <c r="D5" s="767" t="s">
        <v>1223</v>
      </c>
      <c r="E5" s="59" t="str">
        <f>+'事務局使用（発出時は非表示にすること）'!B3</f>
        <v>令和６年９月１日時点</v>
      </c>
      <c r="F5" s="59"/>
      <c r="G5" s="59"/>
      <c r="H5" s="59"/>
      <c r="I5" s="59"/>
      <c r="J5" s="59"/>
      <c r="K5" s="59"/>
      <c r="L5" s="59"/>
      <c r="M5" s="698"/>
      <c r="N5" s="698"/>
      <c r="O5" s="698"/>
      <c r="P5" s="698"/>
      <c r="Q5" s="698"/>
      <c r="R5" s="698"/>
      <c r="S5" s="698"/>
      <c r="T5" s="698"/>
      <c r="U5" s="698"/>
      <c r="V5" s="698"/>
      <c r="W5" s="698"/>
      <c r="X5" s="728"/>
      <c r="Y5" s="728"/>
      <c r="Z5" s="558"/>
      <c r="AA5" s="188" t="s">
        <v>268</v>
      </c>
      <c r="AB5" s="768"/>
      <c r="AC5" s="768"/>
    </row>
    <row r="6" spans="1:38" ht="30" customHeight="1" thickBot="1">
      <c r="A6" s="642">
        <v>1</v>
      </c>
      <c r="B6" s="769" t="s">
        <v>1526</v>
      </c>
      <c r="C6" s="1370" t="s">
        <v>2011</v>
      </c>
      <c r="D6" s="1371"/>
      <c r="E6" s="1371"/>
      <c r="F6" s="1371"/>
      <c r="G6" s="1371"/>
      <c r="H6" s="1371"/>
      <c r="I6" s="1371"/>
      <c r="J6" s="1371"/>
      <c r="K6" s="1371"/>
      <c r="L6" s="1371"/>
      <c r="M6" s="1371"/>
      <c r="N6" s="1371"/>
      <c r="O6" s="1371"/>
      <c r="P6" s="1371"/>
      <c r="Q6" s="1371"/>
      <c r="R6" s="1371"/>
      <c r="S6" s="1371"/>
      <c r="T6" s="1371"/>
      <c r="U6" s="1371"/>
      <c r="V6" s="1371"/>
      <c r="W6" s="1375"/>
      <c r="X6" s="728"/>
      <c r="Y6" s="728" t="str">
        <f>IF(C6="","×","○")</f>
        <v>○</v>
      </c>
      <c r="Z6" s="770"/>
      <c r="AA6" s="175"/>
      <c r="AB6" s="771"/>
    </row>
    <row r="7" spans="1:38" ht="25.5" customHeight="1" thickBot="1">
      <c r="A7" s="1404">
        <v>2</v>
      </c>
      <c r="B7" s="1534" t="s">
        <v>1527</v>
      </c>
      <c r="C7" s="1535"/>
      <c r="D7" s="1537" t="s">
        <v>1979</v>
      </c>
      <c r="E7" s="1530"/>
      <c r="F7" s="1530"/>
      <c r="G7" s="1530"/>
      <c r="H7" s="1530"/>
      <c r="I7" s="1530"/>
      <c r="J7" s="1530"/>
      <c r="K7" s="1530"/>
      <c r="L7" s="1530"/>
      <c r="M7" s="1531"/>
      <c r="N7" s="1307" t="s">
        <v>1365</v>
      </c>
      <c r="O7" s="1307"/>
      <c r="P7" s="1307"/>
      <c r="Q7" s="1311" t="s">
        <v>2012</v>
      </c>
      <c r="R7" s="1312"/>
      <c r="S7" s="1312"/>
      <c r="T7" s="1312"/>
      <c r="U7" s="1312"/>
      <c r="V7" s="1312"/>
      <c r="W7" s="1313"/>
      <c r="X7" s="718"/>
      <c r="Y7" s="728" t="str">
        <f>IF(D7="","×","○")</f>
        <v>○</v>
      </c>
      <c r="AA7" s="175"/>
      <c r="AB7" s="771"/>
    </row>
    <row r="8" spans="1:38" ht="25.5" customHeight="1" thickBot="1">
      <c r="A8" s="1406"/>
      <c r="B8" s="1542" t="s">
        <v>1528</v>
      </c>
      <c r="C8" s="1543"/>
      <c r="D8" s="1529" t="s">
        <v>2013</v>
      </c>
      <c r="E8" s="1530"/>
      <c r="F8" s="1530"/>
      <c r="G8" s="1530"/>
      <c r="H8" s="1530"/>
      <c r="I8" s="1530"/>
      <c r="J8" s="1530"/>
      <c r="K8" s="1530"/>
      <c r="L8" s="1530"/>
      <c r="M8" s="1530"/>
      <c r="N8" s="1530"/>
      <c r="O8" s="1530"/>
      <c r="P8" s="1530"/>
      <c r="Q8" s="1530"/>
      <c r="R8" s="1530"/>
      <c r="S8" s="1530"/>
      <c r="T8" s="1530"/>
      <c r="U8" s="1530"/>
      <c r="V8" s="1530"/>
      <c r="W8" s="1531"/>
      <c r="Y8" s="728" t="str">
        <f>IF(D8="","×","○")</f>
        <v>○</v>
      </c>
      <c r="AA8" s="184"/>
      <c r="AB8" s="601"/>
    </row>
    <row r="9" spans="1:38" ht="25.5" customHeight="1" thickBot="1">
      <c r="A9" s="1498">
        <v>3</v>
      </c>
      <c r="B9" s="1124" t="s">
        <v>1529</v>
      </c>
      <c r="C9" s="40" t="s">
        <v>2014</v>
      </c>
      <c r="D9" s="772"/>
      <c r="E9" s="773"/>
      <c r="F9" s="773"/>
      <c r="G9" s="773"/>
      <c r="H9" s="773"/>
      <c r="I9" s="773"/>
      <c r="J9" s="773"/>
      <c r="K9" s="773"/>
      <c r="L9" s="773"/>
      <c r="M9" s="773"/>
      <c r="N9" s="773"/>
      <c r="O9" s="773"/>
      <c r="P9" s="773"/>
      <c r="Q9" s="773"/>
      <c r="R9" s="773"/>
      <c r="S9" s="773"/>
      <c r="T9" s="773"/>
      <c r="U9" s="773"/>
      <c r="V9" s="773"/>
      <c r="W9" s="774"/>
      <c r="X9" s="718"/>
      <c r="Y9" s="728" t="str">
        <f>IF(C9="","×","○")</f>
        <v>○</v>
      </c>
      <c r="Z9" s="770"/>
      <c r="AA9" s="184"/>
      <c r="AB9" s="601"/>
    </row>
    <row r="10" spans="1:38" ht="25.5" customHeight="1" thickBot="1">
      <c r="A10" s="1498"/>
      <c r="B10" s="775" t="s">
        <v>1530</v>
      </c>
      <c r="C10" s="40" t="s">
        <v>2015</v>
      </c>
      <c r="D10" s="776"/>
      <c r="W10" s="651"/>
      <c r="X10" s="718"/>
      <c r="Y10" s="728" t="str">
        <f>IF(AND(C9="実施",C10=""),"×","○")</f>
        <v>○</v>
      </c>
      <c r="AA10" s="184"/>
      <c r="AB10" s="601"/>
    </row>
    <row r="11" spans="1:38" ht="25.5" customHeight="1" thickBot="1">
      <c r="A11" s="1498">
        <v>4</v>
      </c>
      <c r="B11" s="777" t="s">
        <v>1531</v>
      </c>
      <c r="C11" s="40" t="s">
        <v>2014</v>
      </c>
      <c r="D11" s="778"/>
      <c r="E11" s="779"/>
      <c r="F11" s="779"/>
      <c r="G11" s="779"/>
      <c r="H11" s="779"/>
      <c r="I11" s="779"/>
      <c r="J11" s="779"/>
      <c r="K11" s="779"/>
      <c r="L11" s="779"/>
      <c r="M11" s="779"/>
      <c r="N11" s="779"/>
      <c r="O11" s="779"/>
      <c r="P11" s="779"/>
      <c r="Q11" s="779"/>
      <c r="R11" s="779"/>
      <c r="S11" s="779"/>
      <c r="T11" s="779"/>
      <c r="U11" s="779"/>
      <c r="V11" s="779"/>
      <c r="W11" s="780"/>
      <c r="X11" s="718"/>
      <c r="Y11" s="728" t="str">
        <f>IF(C11="","×","○")</f>
        <v>○</v>
      </c>
      <c r="Z11" s="770"/>
      <c r="AA11" s="184"/>
      <c r="AB11" s="601"/>
    </row>
    <row r="12" spans="1:38" ht="25.5" customHeight="1" thickBot="1">
      <c r="A12" s="1498"/>
      <c r="B12" s="1538" t="s">
        <v>1532</v>
      </c>
      <c r="C12" s="1539"/>
      <c r="D12" s="1537" t="s">
        <v>1979</v>
      </c>
      <c r="E12" s="1530"/>
      <c r="F12" s="1530"/>
      <c r="G12" s="1530"/>
      <c r="H12" s="1530"/>
      <c r="I12" s="1530"/>
      <c r="J12" s="1530"/>
      <c r="K12" s="1530"/>
      <c r="L12" s="1530"/>
      <c r="M12" s="1531"/>
      <c r="N12" s="1329" t="s">
        <v>1365</v>
      </c>
      <c r="O12" s="1330"/>
      <c r="P12" s="1331"/>
      <c r="Q12" s="1311" t="s">
        <v>2012</v>
      </c>
      <c r="R12" s="1312"/>
      <c r="S12" s="1312"/>
      <c r="T12" s="1312"/>
      <c r="U12" s="1312"/>
      <c r="V12" s="1312"/>
      <c r="W12" s="1313"/>
      <c r="Y12" s="728" t="str">
        <f>IF(AND(C11="実施",D12=""),"×","○")</f>
        <v>○</v>
      </c>
      <c r="AA12" s="184"/>
      <c r="AB12" s="771"/>
    </row>
    <row r="13" spans="1:38" ht="25.5" customHeight="1" thickBot="1">
      <c r="A13" s="1498"/>
      <c r="B13" s="775" t="s">
        <v>1533</v>
      </c>
      <c r="C13" s="40" t="s">
        <v>2015</v>
      </c>
      <c r="F13" s="781"/>
      <c r="H13" s="781"/>
      <c r="I13" s="781"/>
      <c r="K13" s="781"/>
      <c r="M13" s="781"/>
      <c r="N13" s="781"/>
      <c r="P13" s="781"/>
      <c r="R13" s="781"/>
      <c r="S13" s="781"/>
      <c r="U13" s="781"/>
      <c r="W13" s="782"/>
      <c r="X13" s="718"/>
      <c r="Y13" s="728" t="str">
        <f>IF(AND(C11="実施",C13=""),"×","○")</f>
        <v>○</v>
      </c>
      <c r="AA13" s="184"/>
      <c r="AB13" s="771"/>
    </row>
    <row r="14" spans="1:38" ht="25.5" customHeight="1" thickBot="1">
      <c r="A14" s="1498"/>
      <c r="B14" s="783" t="s">
        <v>1534</v>
      </c>
      <c r="C14" s="40" t="s">
        <v>2014</v>
      </c>
      <c r="D14" s="784"/>
      <c r="E14" s="785"/>
      <c r="F14" s="785"/>
      <c r="G14" s="785"/>
      <c r="H14" s="785"/>
      <c r="I14" s="785"/>
      <c r="J14" s="785"/>
      <c r="K14" s="785"/>
      <c r="L14" s="785"/>
      <c r="M14" s="785"/>
      <c r="N14" s="785"/>
      <c r="O14" s="785"/>
      <c r="P14" s="785"/>
      <c r="Q14" s="785"/>
      <c r="R14" s="785"/>
      <c r="S14" s="785"/>
      <c r="T14" s="785"/>
      <c r="U14" s="785"/>
      <c r="V14" s="785"/>
      <c r="W14" s="786"/>
      <c r="Y14" s="728" t="str">
        <f>IF(C14="","×","○")</f>
        <v>○</v>
      </c>
      <c r="AA14" s="184"/>
      <c r="AB14" s="771"/>
    </row>
    <row r="15" spans="1:38" ht="25.5" customHeight="1" thickBot="1">
      <c r="A15" s="1498"/>
      <c r="B15" s="1538" t="s">
        <v>1535</v>
      </c>
      <c r="C15" s="1539"/>
      <c r="D15" s="1537" t="s">
        <v>2016</v>
      </c>
      <c r="E15" s="1530"/>
      <c r="F15" s="1530"/>
      <c r="G15" s="1530"/>
      <c r="H15" s="1530"/>
      <c r="I15" s="1530"/>
      <c r="J15" s="1530"/>
      <c r="K15" s="1530"/>
      <c r="L15" s="1530"/>
      <c r="M15" s="1530"/>
      <c r="N15" s="1530"/>
      <c r="O15" s="1530"/>
      <c r="P15" s="1530"/>
      <c r="Q15" s="1530"/>
      <c r="R15" s="1530"/>
      <c r="S15" s="1530"/>
      <c r="T15" s="1530"/>
      <c r="U15" s="1530"/>
      <c r="V15" s="1530"/>
      <c r="W15" s="1531"/>
      <c r="Y15" s="728" t="str">
        <f>IF(AND(C14="実施",D15=""),"×","○")</f>
        <v>○</v>
      </c>
      <c r="AA15" s="184"/>
      <c r="AB15" s="601"/>
    </row>
    <row r="16" spans="1:38" ht="25.5" customHeight="1" thickBot="1">
      <c r="A16" s="1498"/>
      <c r="B16" s="787" t="s">
        <v>1536</v>
      </c>
      <c r="C16" s="40" t="s">
        <v>2014</v>
      </c>
      <c r="D16" s="788"/>
      <c r="E16" s="788"/>
      <c r="F16" s="788"/>
      <c r="G16" s="788"/>
      <c r="H16" s="788"/>
      <c r="I16" s="788"/>
      <c r="J16" s="788"/>
      <c r="K16" s="788"/>
      <c r="L16" s="788"/>
      <c r="M16" s="788"/>
      <c r="N16" s="788"/>
      <c r="O16" s="788"/>
      <c r="P16" s="788"/>
      <c r="Q16" s="788"/>
      <c r="R16" s="788"/>
      <c r="S16" s="788"/>
      <c r="T16" s="788"/>
      <c r="U16" s="788"/>
      <c r="V16" s="788"/>
      <c r="W16" s="789"/>
      <c r="Y16" s="728" t="str">
        <f>IF(C16="","×","○")</f>
        <v>○</v>
      </c>
      <c r="Z16" s="770"/>
      <c r="AA16" s="184"/>
      <c r="AB16" s="601"/>
    </row>
    <row r="17" spans="1:28" ht="25.5" customHeight="1" thickBot="1">
      <c r="A17" s="1498"/>
      <c r="B17" s="1540" t="s">
        <v>1537</v>
      </c>
      <c r="C17" s="1541"/>
      <c r="D17" s="1370" t="s">
        <v>2017</v>
      </c>
      <c r="E17" s="1371"/>
      <c r="F17" s="1371"/>
      <c r="G17" s="1371"/>
      <c r="H17" s="1371"/>
      <c r="I17" s="1371"/>
      <c r="J17" s="1371"/>
      <c r="K17" s="1371"/>
      <c r="L17" s="1371"/>
      <c r="M17" s="1371"/>
      <c r="N17" s="1371"/>
      <c r="O17" s="1371"/>
      <c r="P17" s="1371"/>
      <c r="Q17" s="1371"/>
      <c r="R17" s="1371"/>
      <c r="S17" s="1371"/>
      <c r="T17" s="1371"/>
      <c r="U17" s="1371"/>
      <c r="V17" s="1371"/>
      <c r="W17" s="1375"/>
      <c r="Y17" s="728" t="str">
        <f>IF(AND(C16="実施",D17=""),"×","○")</f>
        <v>○</v>
      </c>
      <c r="AA17" s="184"/>
      <c r="AB17" s="771"/>
    </row>
    <row r="18" spans="1:28" ht="25.5" customHeight="1" thickBot="1">
      <c r="A18" s="1498"/>
      <c r="B18" s="790" t="s">
        <v>1538</v>
      </c>
      <c r="C18" s="40" t="s">
        <v>2014</v>
      </c>
      <c r="D18" s="788"/>
      <c r="E18" s="788"/>
      <c r="F18" s="788"/>
      <c r="G18" s="788"/>
      <c r="H18" s="788"/>
      <c r="I18" s="788"/>
      <c r="J18" s="788"/>
      <c r="K18" s="788"/>
      <c r="L18" s="788"/>
      <c r="M18" s="788"/>
      <c r="N18" s="788"/>
      <c r="O18" s="788"/>
      <c r="P18" s="788"/>
      <c r="Q18" s="788"/>
      <c r="R18" s="788"/>
      <c r="S18" s="788"/>
      <c r="T18" s="788"/>
      <c r="U18" s="788"/>
      <c r="V18" s="788"/>
      <c r="W18" s="788"/>
      <c r="Y18" s="728" t="str">
        <f>IF(C18="","×","○")</f>
        <v>○</v>
      </c>
      <c r="Z18" s="770"/>
      <c r="AA18" s="184"/>
      <c r="AB18" s="601"/>
    </row>
    <row r="19" spans="1:28" ht="25.5" customHeight="1">
      <c r="AA19" s="183"/>
      <c r="AB19" s="771"/>
    </row>
  </sheetData>
  <sheetProtection selectLockedCells="1"/>
  <mergeCells count="22">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 ref="D8:W8"/>
    <mergeCell ref="AF3:AL3"/>
    <mergeCell ref="E4:W4"/>
    <mergeCell ref="C6:W6"/>
    <mergeCell ref="N7:P7"/>
    <mergeCell ref="B7:C7"/>
  </mergeCells>
  <phoneticPr fontId="10"/>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zoomScaleNormal="100" zoomScaleSheetLayoutView="100" workbookViewId="0">
      <selection activeCell="A58" sqref="A58:H61"/>
    </sheetView>
  </sheetViews>
  <sheetFormatPr defaultColWidth="8.875" defaultRowHeight="20.100000000000001" customHeight="1"/>
  <cols>
    <col min="1" max="1" width="3.625" style="532" customWidth="1"/>
    <col min="2" max="2" width="34" style="532" customWidth="1"/>
    <col min="3" max="3" width="15.125" style="532" customWidth="1"/>
    <col min="4" max="4" width="17.625" style="532" customWidth="1"/>
    <col min="5" max="5" width="10.375" style="532" customWidth="1"/>
    <col min="6" max="6" width="5.625" style="532" customWidth="1"/>
    <col min="7" max="7" width="7.875" style="532" customWidth="1"/>
    <col min="8" max="8" width="20.875" style="532" customWidth="1"/>
    <col min="9" max="9" width="10.625" style="532" customWidth="1"/>
    <col min="10" max="10" width="2.625" style="532" customWidth="1"/>
    <col min="11" max="11" width="6" style="532" hidden="1" customWidth="1"/>
    <col min="12" max="12" width="2.25" style="59" hidden="1" customWidth="1"/>
    <col min="13" max="13" width="82.75" style="340" bestFit="1" customWidth="1"/>
    <col min="14" max="14" width="0" style="532" hidden="1" customWidth="1"/>
    <col min="15" max="15" width="9.125" style="532" hidden="1" customWidth="1"/>
    <col min="16" max="17" width="6.25" style="532" customWidth="1"/>
    <col min="18" max="16384" width="8.875" style="532"/>
  </cols>
  <sheetData>
    <row r="1" spans="1:15" s="791" customFormat="1" ht="20.25" customHeight="1" thickBot="1">
      <c r="A1" s="1226" t="s">
        <v>1539</v>
      </c>
      <c r="B1" s="1226"/>
      <c r="C1" s="1226"/>
      <c r="D1" s="1226"/>
      <c r="E1" s="1226"/>
      <c r="F1" s="1226"/>
      <c r="G1" s="1226"/>
      <c r="H1" s="1226"/>
      <c r="I1" s="1226"/>
      <c r="L1" s="97"/>
      <c r="M1" s="197"/>
    </row>
    <row r="2" spans="1:15" s="791" customFormat="1" ht="24.95" customHeight="1" thickTop="1" thickBot="1">
      <c r="A2" s="1338" t="s">
        <v>1348</v>
      </c>
      <c r="B2" s="1338"/>
      <c r="C2" s="1338"/>
      <c r="D2" s="1338"/>
      <c r="E2" s="1338"/>
      <c r="F2" s="1338"/>
      <c r="G2" s="1338"/>
      <c r="H2" s="1339"/>
      <c r="I2" s="533" t="str">
        <f>IF(COUNTIF(K:K,"×")&gt;=1,"未入力あり","入力済")</f>
        <v>入力済</v>
      </c>
      <c r="J2" s="1234"/>
      <c r="K2" s="594"/>
      <c r="L2" s="97"/>
      <c r="M2" s="197"/>
    </row>
    <row r="3" spans="1:15" ht="4.7" customHeight="1" thickTop="1">
      <c r="F3" s="792"/>
      <c r="G3" s="792"/>
      <c r="H3" s="792"/>
      <c r="J3" s="1234"/>
      <c r="K3" s="594"/>
      <c r="L3" s="61"/>
    </row>
    <row r="4" spans="1:15" ht="20.100000000000001" customHeight="1">
      <c r="E4" s="596" t="s">
        <v>1222</v>
      </c>
      <c r="F4" s="1564" t="str">
        <f>表紙!E2</f>
        <v>市立豊中病院</v>
      </c>
      <c r="G4" s="1565"/>
      <c r="H4" s="1565"/>
      <c r="I4" s="1566"/>
      <c r="J4" s="1234"/>
      <c r="K4" s="594"/>
      <c r="L4" s="97"/>
    </row>
    <row r="5" spans="1:15" ht="20.100000000000001" customHeight="1">
      <c r="E5" s="536" t="s">
        <v>1223</v>
      </c>
      <c r="F5" t="str">
        <f>+'事務局使用（発出時は非表示にすること）'!B3</f>
        <v>令和６年９月１日時点</v>
      </c>
      <c r="G5"/>
      <c r="H5" s="640"/>
      <c r="I5" s="793"/>
      <c r="J5" s="793"/>
      <c r="K5" s="793"/>
      <c r="M5" s="188" t="s">
        <v>268</v>
      </c>
    </row>
    <row r="6" spans="1:15" ht="72" customHeight="1">
      <c r="A6" s="1577" t="s">
        <v>1540</v>
      </c>
      <c r="B6" s="1577"/>
      <c r="C6" s="1577"/>
      <c r="D6" s="1577"/>
      <c r="E6" s="1577"/>
      <c r="F6" s="1577"/>
      <c r="G6" s="1577"/>
      <c r="H6" s="1577"/>
      <c r="I6" s="1577"/>
      <c r="J6" s="794"/>
      <c r="K6" s="794"/>
      <c r="M6" s="87"/>
    </row>
    <row r="7" spans="1:15" ht="23.25" customHeight="1">
      <c r="A7" s="795" t="s">
        <v>1541</v>
      </c>
      <c r="B7" s="795"/>
      <c r="C7" s="795"/>
      <c r="D7" s="795"/>
      <c r="E7" s="795"/>
      <c r="F7" s="795"/>
      <c r="G7" s="795"/>
      <c r="H7" s="794"/>
      <c r="I7" s="794"/>
      <c r="J7" s="794"/>
      <c r="K7" s="794"/>
      <c r="M7" s="87"/>
    </row>
    <row r="8" spans="1:15" ht="18.75" customHeight="1" thickBot="1">
      <c r="A8" s="1567" t="s">
        <v>1542</v>
      </c>
      <c r="B8" s="1568"/>
      <c r="C8" s="1568"/>
      <c r="D8" s="1568"/>
      <c r="E8" s="1568"/>
      <c r="F8" s="1569"/>
      <c r="G8" s="1125" t="s">
        <v>1543</v>
      </c>
      <c r="H8" s="794"/>
      <c r="I8" s="794"/>
      <c r="J8" s="794"/>
      <c r="K8" s="794"/>
      <c r="M8" s="87"/>
    </row>
    <row r="9" spans="1:15" ht="19.5" customHeight="1" thickBot="1">
      <c r="A9" s="1575" t="s">
        <v>1544</v>
      </c>
      <c r="B9" s="1576"/>
      <c r="C9" s="1576"/>
      <c r="D9" s="1576"/>
      <c r="E9" s="1576"/>
      <c r="F9" s="1576"/>
      <c r="G9" s="335">
        <v>3</v>
      </c>
      <c r="H9" s="796"/>
      <c r="I9" s="794"/>
      <c r="J9" s="794"/>
      <c r="K9" s="532" t="str">
        <f>IF(G9="","×","○")</f>
        <v>○</v>
      </c>
      <c r="M9" s="87"/>
      <c r="N9" s="732">
        <v>0</v>
      </c>
      <c r="O9" s="732">
        <v>20</v>
      </c>
    </row>
    <row r="10" spans="1:15" ht="19.5" customHeight="1">
      <c r="A10" s="1019"/>
      <c r="B10" s="1578" t="s">
        <v>1545</v>
      </c>
      <c r="C10" s="1579"/>
      <c r="D10" s="1579"/>
      <c r="E10" s="1579"/>
      <c r="F10" s="1579"/>
      <c r="G10" s="335">
        <v>0</v>
      </c>
      <c r="H10" s="794"/>
      <c r="I10" s="794"/>
      <c r="J10" s="794"/>
      <c r="K10" s="532" t="str">
        <f t="shared" ref="K10:K14" si="0">IF(G10="","×","○")</f>
        <v>○</v>
      </c>
      <c r="M10" s="87"/>
      <c r="N10" s="732">
        <v>0</v>
      </c>
      <c r="O10" s="732">
        <v>20</v>
      </c>
    </row>
    <row r="11" spans="1:15" ht="19.5" customHeight="1">
      <c r="A11" s="797"/>
      <c r="B11" s="1136" t="s">
        <v>1546</v>
      </c>
      <c r="C11" s="798"/>
      <c r="D11" s="798"/>
      <c r="E11" s="798"/>
      <c r="F11" s="798"/>
      <c r="G11" s="335">
        <v>3</v>
      </c>
      <c r="H11" s="794"/>
      <c r="I11" s="794"/>
      <c r="J11" s="794"/>
      <c r="K11" s="532" t="str">
        <f t="shared" si="0"/>
        <v>○</v>
      </c>
      <c r="M11" s="87"/>
      <c r="N11" s="732">
        <v>0</v>
      </c>
      <c r="O11" s="732">
        <v>20</v>
      </c>
    </row>
    <row r="12" spans="1:15" ht="19.5" customHeight="1" thickBot="1">
      <c r="A12" s="1575" t="s">
        <v>1547</v>
      </c>
      <c r="B12" s="1576"/>
      <c r="C12" s="1576"/>
      <c r="D12" s="1576"/>
      <c r="E12" s="1576"/>
      <c r="F12" s="1576"/>
      <c r="G12" s="335">
        <v>0</v>
      </c>
      <c r="H12" s="794"/>
      <c r="I12" s="794"/>
      <c r="J12" s="794"/>
      <c r="K12" s="532" t="str">
        <f t="shared" si="0"/>
        <v>○</v>
      </c>
      <c r="M12" s="87"/>
      <c r="N12" s="732">
        <v>0</v>
      </c>
      <c r="O12" s="732">
        <v>20</v>
      </c>
    </row>
    <row r="13" spans="1:15" ht="19.5" customHeight="1">
      <c r="A13" s="1019"/>
      <c r="B13" s="1578" t="s">
        <v>1548</v>
      </c>
      <c r="C13" s="1579"/>
      <c r="D13" s="1579"/>
      <c r="E13" s="1579"/>
      <c r="F13" s="1579"/>
      <c r="G13" s="335">
        <v>0</v>
      </c>
      <c r="H13" s="794"/>
      <c r="I13" s="794"/>
      <c r="J13" s="794"/>
      <c r="K13" s="532" t="str">
        <f t="shared" si="0"/>
        <v>○</v>
      </c>
      <c r="M13" s="87"/>
      <c r="N13" s="732">
        <v>0</v>
      </c>
      <c r="O13" s="732">
        <v>20</v>
      </c>
    </row>
    <row r="14" spans="1:15" ht="19.5" customHeight="1">
      <c r="A14" s="797"/>
      <c r="B14" s="1136" t="s">
        <v>1546</v>
      </c>
      <c r="C14" s="798"/>
      <c r="D14" s="798"/>
      <c r="E14" s="798"/>
      <c r="F14" s="798"/>
      <c r="G14" s="335">
        <v>0</v>
      </c>
      <c r="H14" s="794"/>
      <c r="I14" s="794"/>
      <c r="J14" s="794"/>
      <c r="K14" s="532" t="str">
        <f t="shared" si="0"/>
        <v>○</v>
      </c>
      <c r="M14" s="87"/>
      <c r="N14" s="732">
        <v>0</v>
      </c>
      <c r="O14" s="732">
        <v>20</v>
      </c>
    </row>
    <row r="15" spans="1:15" ht="29.25" customHeight="1">
      <c r="A15" s="1589" t="s">
        <v>1549</v>
      </c>
      <c r="B15" s="1589"/>
      <c r="C15" s="1589"/>
      <c r="D15" s="1589"/>
      <c r="E15" s="1589"/>
      <c r="F15" s="1589"/>
      <c r="G15" s="1589"/>
      <c r="H15" s="794"/>
      <c r="I15" s="794"/>
      <c r="J15" s="794"/>
      <c r="M15" s="87"/>
    </row>
    <row r="16" spans="1:15" ht="19.5" customHeight="1" thickBot="1">
      <c r="A16" s="1567" t="s">
        <v>1542</v>
      </c>
      <c r="B16" s="1568"/>
      <c r="C16" s="1568"/>
      <c r="D16" s="1568"/>
      <c r="E16" s="1568"/>
      <c r="F16" s="1569"/>
      <c r="G16" s="1125" t="s">
        <v>1543</v>
      </c>
      <c r="H16" s="794"/>
      <c r="I16" s="794"/>
      <c r="J16" s="794"/>
      <c r="M16" s="87"/>
    </row>
    <row r="17" spans="1:15" ht="30.75" customHeight="1" thickBot="1">
      <c r="A17" s="1586" t="s">
        <v>1550</v>
      </c>
      <c r="B17" s="1587"/>
      <c r="C17" s="1587"/>
      <c r="D17" s="1587"/>
      <c r="E17" s="1587"/>
      <c r="F17" s="1588"/>
      <c r="G17" s="335">
        <v>3</v>
      </c>
      <c r="H17" s="794"/>
      <c r="I17" s="794"/>
      <c r="J17" s="794"/>
      <c r="K17" s="532" t="str">
        <f>IF(G17="","×","○")</f>
        <v>○</v>
      </c>
      <c r="M17" s="87"/>
      <c r="N17" s="732">
        <v>0</v>
      </c>
      <c r="O17" s="732">
        <v>20</v>
      </c>
    </row>
    <row r="18" spans="1:15" ht="19.5" customHeight="1" thickBot="1">
      <c r="A18" s="1020" t="s">
        <v>1551</v>
      </c>
      <c r="B18" s="799"/>
      <c r="C18" s="799"/>
      <c r="D18" s="799"/>
      <c r="E18" s="799"/>
      <c r="F18" s="799"/>
      <c r="G18" s="335">
        <v>2</v>
      </c>
      <c r="H18" s="794"/>
      <c r="I18" s="794"/>
      <c r="J18" s="794"/>
      <c r="K18" s="532" t="str">
        <f t="shared" ref="K18" si="1">IF(G18="","×","○")</f>
        <v>○</v>
      </c>
      <c r="M18" s="87"/>
      <c r="N18" s="732">
        <v>0</v>
      </c>
      <c r="O18" s="732">
        <v>20</v>
      </c>
    </row>
    <row r="19" spans="1:15" ht="19.5" customHeight="1" thickBot="1">
      <c r="A19" s="800" t="s">
        <v>1552</v>
      </c>
      <c r="B19" s="801"/>
      <c r="C19" s="1570" t="s">
        <v>2018</v>
      </c>
      <c r="D19" s="1571"/>
      <c r="E19" s="1571"/>
      <c r="F19" s="1571"/>
      <c r="G19" s="1572"/>
      <c r="H19" s="794"/>
      <c r="I19" s="794"/>
      <c r="J19" s="794"/>
      <c r="K19" s="728" t="str">
        <f>IF(AND(G18&gt;0,C19=""),"×","〇")</f>
        <v>〇</v>
      </c>
      <c r="M19" s="87"/>
    </row>
    <row r="20" spans="1:15" ht="19.5" customHeight="1">
      <c r="A20" s="1593" t="s">
        <v>1553</v>
      </c>
      <c r="B20" s="1593"/>
      <c r="C20" s="1593"/>
      <c r="D20" s="1593"/>
      <c r="E20" s="1593"/>
      <c r="F20" s="1593"/>
      <c r="G20" s="1593"/>
      <c r="H20" s="794"/>
      <c r="I20" s="794"/>
      <c r="J20" s="794"/>
      <c r="K20" s="728"/>
      <c r="M20" s="87"/>
    </row>
    <row r="21" spans="1:15" ht="72.75" customHeight="1">
      <c r="A21" s="1590" t="s">
        <v>1554</v>
      </c>
      <c r="B21" s="1590"/>
      <c r="C21" s="1590"/>
      <c r="D21" s="1590"/>
      <c r="E21" s="1590"/>
      <c r="F21" s="1590"/>
      <c r="G21" s="1590"/>
      <c r="H21" s="1589"/>
      <c r="I21" s="794"/>
      <c r="J21" s="794"/>
      <c r="M21" s="87"/>
    </row>
    <row r="22" spans="1:15" ht="42.75" customHeight="1">
      <c r="A22" s="802"/>
      <c r="B22" s="1135" t="s">
        <v>1555</v>
      </c>
      <c r="C22" s="1591" t="s">
        <v>1556</v>
      </c>
      <c r="D22" s="1592"/>
      <c r="E22" s="803" t="s">
        <v>1543</v>
      </c>
      <c r="F22" s="1582" t="s">
        <v>1557</v>
      </c>
      <c r="G22" s="1583"/>
      <c r="H22" s="803" t="s">
        <v>1558</v>
      </c>
      <c r="M22" s="178"/>
    </row>
    <row r="23" spans="1:15" s="807" customFormat="1" ht="15" customHeight="1">
      <c r="A23" s="804" t="s">
        <v>1559</v>
      </c>
      <c r="B23" s="805" t="s">
        <v>1560</v>
      </c>
      <c r="C23" s="1580" t="s">
        <v>1561</v>
      </c>
      <c r="D23" s="1581"/>
      <c r="E23" s="806">
        <v>3</v>
      </c>
      <c r="F23" s="1584">
        <v>2</v>
      </c>
      <c r="G23" s="1585"/>
      <c r="H23" s="806">
        <v>3</v>
      </c>
      <c r="K23" s="532"/>
      <c r="L23" s="808"/>
      <c r="M23" s="87"/>
    </row>
    <row r="24" spans="1:15" s="807" customFormat="1" ht="15" customHeight="1" thickBot="1">
      <c r="A24" s="809" t="s">
        <v>1559</v>
      </c>
      <c r="B24" s="810" t="s">
        <v>1562</v>
      </c>
      <c r="C24" s="1580" t="s">
        <v>1563</v>
      </c>
      <c r="D24" s="1581"/>
      <c r="E24" s="806">
        <v>2</v>
      </c>
      <c r="F24" s="1584">
        <v>1</v>
      </c>
      <c r="G24" s="1585"/>
      <c r="H24" s="806">
        <v>2</v>
      </c>
      <c r="K24" s="532"/>
      <c r="L24" s="808"/>
      <c r="M24" s="87"/>
    </row>
    <row r="25" spans="1:15" ht="22.5" customHeight="1" thickBot="1">
      <c r="A25" s="642">
        <v>1</v>
      </c>
      <c r="B25" s="811" t="s">
        <v>1564</v>
      </c>
      <c r="C25" s="1548" t="s">
        <v>1561</v>
      </c>
      <c r="D25" s="1549"/>
      <c r="E25" s="65">
        <v>3</v>
      </c>
      <c r="F25" s="1544">
        <v>2</v>
      </c>
      <c r="G25" s="1545"/>
      <c r="H25" s="65">
        <v>2</v>
      </c>
      <c r="K25" s="532" t="str">
        <f>IF(AND(E25&lt;&gt;"",F25&lt;&gt;"",H25&lt;&gt;""),"○","×")</f>
        <v>○</v>
      </c>
      <c r="M25" s="87"/>
    </row>
    <row r="26" spans="1:15" ht="22.5" customHeight="1" thickBot="1">
      <c r="A26" s="642">
        <v>2</v>
      </c>
      <c r="B26" s="811" t="s">
        <v>1564</v>
      </c>
      <c r="C26" s="1548" t="s">
        <v>1563</v>
      </c>
      <c r="D26" s="1549"/>
      <c r="E26" s="65">
        <v>0</v>
      </c>
      <c r="F26" s="1544">
        <v>0</v>
      </c>
      <c r="G26" s="1545"/>
      <c r="H26" s="65">
        <v>0</v>
      </c>
      <c r="K26" s="532" t="str">
        <f t="shared" ref="K26:K33" si="2">IF(AND(E26&lt;&gt;"",F26&lt;&gt;"",H26&lt;&gt;""),"○","×")</f>
        <v>○</v>
      </c>
      <c r="M26" s="87"/>
    </row>
    <row r="27" spans="1:15" ht="22.5" customHeight="1" thickBot="1">
      <c r="A27" s="642">
        <v>3</v>
      </c>
      <c r="B27" s="811" t="s">
        <v>1564</v>
      </c>
      <c r="C27" s="1548" t="s">
        <v>1565</v>
      </c>
      <c r="D27" s="1549"/>
      <c r="E27" s="65">
        <v>0</v>
      </c>
      <c r="F27" s="1544">
        <v>0</v>
      </c>
      <c r="G27" s="1545"/>
      <c r="H27" s="65">
        <v>0</v>
      </c>
      <c r="K27" s="532" t="str">
        <f t="shared" si="2"/>
        <v>○</v>
      </c>
      <c r="M27" s="87"/>
    </row>
    <row r="28" spans="1:15" ht="22.5" customHeight="1" thickBot="1">
      <c r="A28" s="642">
        <v>4</v>
      </c>
      <c r="B28" s="811" t="s">
        <v>1566</v>
      </c>
      <c r="C28" s="1548" t="s">
        <v>1561</v>
      </c>
      <c r="D28" s="1549"/>
      <c r="E28" s="65">
        <v>0</v>
      </c>
      <c r="F28" s="1544">
        <v>0</v>
      </c>
      <c r="G28" s="1545"/>
      <c r="H28" s="65">
        <v>0</v>
      </c>
      <c r="K28" s="532" t="str">
        <f t="shared" si="2"/>
        <v>○</v>
      </c>
      <c r="M28" s="87"/>
    </row>
    <row r="29" spans="1:15" ht="22.5" customHeight="1" thickBot="1">
      <c r="A29" s="642">
        <v>5</v>
      </c>
      <c r="B29" s="811" t="s">
        <v>1566</v>
      </c>
      <c r="C29" s="1548" t="s">
        <v>1563</v>
      </c>
      <c r="D29" s="1549"/>
      <c r="E29" s="65">
        <v>0</v>
      </c>
      <c r="F29" s="1544">
        <v>0</v>
      </c>
      <c r="G29" s="1545"/>
      <c r="H29" s="65">
        <v>0</v>
      </c>
      <c r="K29" s="532" t="str">
        <f t="shared" si="2"/>
        <v>○</v>
      </c>
      <c r="M29" s="87"/>
    </row>
    <row r="30" spans="1:15" ht="22.5" customHeight="1" thickBot="1">
      <c r="A30" s="642">
        <v>6</v>
      </c>
      <c r="B30" s="811" t="s">
        <v>1566</v>
      </c>
      <c r="C30" s="1548" t="s">
        <v>1565</v>
      </c>
      <c r="D30" s="1549"/>
      <c r="E30" s="65">
        <v>0</v>
      </c>
      <c r="F30" s="1544">
        <v>0</v>
      </c>
      <c r="G30" s="1545"/>
      <c r="H30" s="65">
        <v>0</v>
      </c>
      <c r="K30" s="532" t="str">
        <f t="shared" si="2"/>
        <v>○</v>
      </c>
      <c r="M30" s="87"/>
    </row>
    <row r="31" spans="1:15" ht="22.5" customHeight="1" thickBot="1">
      <c r="A31" s="642">
        <v>7</v>
      </c>
      <c r="B31" s="811" t="s">
        <v>1567</v>
      </c>
      <c r="C31" s="1548" t="s">
        <v>1561</v>
      </c>
      <c r="D31" s="1549"/>
      <c r="E31" s="65">
        <v>1</v>
      </c>
      <c r="F31" s="1544">
        <v>0</v>
      </c>
      <c r="G31" s="1545"/>
      <c r="H31" s="65">
        <v>1</v>
      </c>
      <c r="K31" s="532" t="str">
        <f>IF(AND(E31&lt;&gt;"",F31&lt;&gt;"",H31&lt;&gt;""),"○","×")</f>
        <v>○</v>
      </c>
      <c r="M31" s="87"/>
    </row>
    <row r="32" spans="1:15" ht="22.5" customHeight="1" thickBot="1">
      <c r="A32" s="642">
        <v>8</v>
      </c>
      <c r="B32" s="1126" t="s">
        <v>1567</v>
      </c>
      <c r="C32" s="1548" t="s">
        <v>1563</v>
      </c>
      <c r="D32" s="1549"/>
      <c r="E32" s="65">
        <v>0</v>
      </c>
      <c r="F32" s="1544">
        <v>0</v>
      </c>
      <c r="G32" s="1545"/>
      <c r="H32" s="65">
        <v>0</v>
      </c>
      <c r="K32" s="532" t="str">
        <f t="shared" si="2"/>
        <v>○</v>
      </c>
      <c r="M32" s="87"/>
    </row>
    <row r="33" spans="1:13" ht="22.5" customHeight="1" thickBot="1">
      <c r="A33" s="642">
        <v>9</v>
      </c>
      <c r="B33" s="1126" t="s">
        <v>1567</v>
      </c>
      <c r="C33" s="1548" t="s">
        <v>1565</v>
      </c>
      <c r="D33" s="1574"/>
      <c r="E33" s="65">
        <v>0</v>
      </c>
      <c r="F33" s="1544">
        <v>0</v>
      </c>
      <c r="G33" s="1545"/>
      <c r="H33" s="65">
        <v>0</v>
      </c>
      <c r="K33" s="532" t="str">
        <f t="shared" si="2"/>
        <v>○</v>
      </c>
      <c r="M33" s="87"/>
    </row>
    <row r="34" spans="1:13" ht="22.5" customHeight="1" thickBot="1">
      <c r="A34" s="642">
        <v>10</v>
      </c>
      <c r="B34" s="811" t="s">
        <v>1568</v>
      </c>
      <c r="C34" s="1550" t="s">
        <v>1561</v>
      </c>
      <c r="D34" s="1551"/>
      <c r="E34" s="65">
        <v>0</v>
      </c>
      <c r="F34" s="1544">
        <v>0</v>
      </c>
      <c r="G34" s="1545"/>
      <c r="H34" s="65">
        <v>0</v>
      </c>
      <c r="K34" s="532" t="str">
        <f t="shared" ref="K34:K36" si="3">IF(AND(E34&lt;&gt;"",F34&lt;&gt;"",H34&lt;&gt;""),"○","×")</f>
        <v>○</v>
      </c>
      <c r="M34" s="87"/>
    </row>
    <row r="35" spans="1:13" ht="22.5" customHeight="1" thickBot="1">
      <c r="A35" s="642">
        <v>11</v>
      </c>
      <c r="B35" s="1126" t="s">
        <v>1568</v>
      </c>
      <c r="C35" s="1548" t="s">
        <v>1563</v>
      </c>
      <c r="D35" s="1549"/>
      <c r="E35" s="65">
        <v>0</v>
      </c>
      <c r="F35" s="1544">
        <v>0</v>
      </c>
      <c r="G35" s="1545"/>
      <c r="H35" s="65">
        <v>0</v>
      </c>
      <c r="K35" s="532" t="str">
        <f>IF(AND(E35&lt;&gt;"",F35&lt;&gt;"",H35&lt;&gt;""),"○","×")</f>
        <v>○</v>
      </c>
      <c r="M35" s="87"/>
    </row>
    <row r="36" spans="1:13" ht="22.5" customHeight="1" thickBot="1">
      <c r="A36" s="642">
        <v>12</v>
      </c>
      <c r="B36" s="1126" t="s">
        <v>1568</v>
      </c>
      <c r="C36" s="1548" t="s">
        <v>1565</v>
      </c>
      <c r="D36" s="1549"/>
      <c r="E36" s="65">
        <v>0</v>
      </c>
      <c r="F36" s="1544">
        <v>0</v>
      </c>
      <c r="G36" s="1545"/>
      <c r="H36" s="65">
        <v>0</v>
      </c>
      <c r="K36" s="532" t="str">
        <f t="shared" si="3"/>
        <v>○</v>
      </c>
      <c r="M36" s="87"/>
    </row>
    <row r="37" spans="1:13" ht="22.5" customHeight="1" thickBot="1">
      <c r="A37" s="642">
        <v>13</v>
      </c>
      <c r="B37" s="113"/>
      <c r="C37" s="1546"/>
      <c r="D37" s="1547"/>
      <c r="E37" s="65"/>
      <c r="F37" s="1544"/>
      <c r="G37" s="1545"/>
      <c r="H37" s="65"/>
      <c r="M37" s="87"/>
    </row>
    <row r="38" spans="1:13" ht="22.5" customHeight="1" thickBot="1">
      <c r="A38" s="642">
        <v>14</v>
      </c>
      <c r="B38" s="113"/>
      <c r="C38" s="1546"/>
      <c r="D38" s="1547"/>
      <c r="E38" s="65"/>
      <c r="F38" s="1544"/>
      <c r="G38" s="1545"/>
      <c r="H38" s="65"/>
      <c r="M38" s="87"/>
    </row>
    <row r="39" spans="1:13" ht="22.5" customHeight="1" thickBot="1">
      <c r="A39" s="642">
        <v>15</v>
      </c>
      <c r="B39" s="113"/>
      <c r="C39" s="1546"/>
      <c r="D39" s="1547"/>
      <c r="E39" s="65"/>
      <c r="F39" s="1544"/>
      <c r="G39" s="1545"/>
      <c r="H39" s="65"/>
      <c r="M39" s="87"/>
    </row>
    <row r="40" spans="1:13" ht="22.5" customHeight="1" thickBot="1">
      <c r="A40" s="642">
        <v>16</v>
      </c>
      <c r="B40" s="113"/>
      <c r="C40" s="1546"/>
      <c r="D40" s="1547"/>
      <c r="E40" s="65"/>
      <c r="F40" s="1544"/>
      <c r="G40" s="1545"/>
      <c r="H40" s="65"/>
      <c r="M40" s="87"/>
    </row>
    <row r="41" spans="1:13" ht="22.5" customHeight="1" thickBot="1">
      <c r="A41" s="642">
        <v>17</v>
      </c>
      <c r="B41" s="113"/>
      <c r="C41" s="1546"/>
      <c r="D41" s="1547"/>
      <c r="E41" s="65"/>
      <c r="F41" s="1544"/>
      <c r="G41" s="1545"/>
      <c r="H41" s="65"/>
      <c r="M41" s="87"/>
    </row>
    <row r="42" spans="1:13" ht="22.5" customHeight="1" thickBot="1">
      <c r="A42" s="642">
        <v>18</v>
      </c>
      <c r="B42" s="113"/>
      <c r="C42" s="1546"/>
      <c r="D42" s="1547"/>
      <c r="E42" s="65"/>
      <c r="F42" s="1544"/>
      <c r="G42" s="1545"/>
      <c r="H42" s="65"/>
      <c r="M42" s="87"/>
    </row>
    <row r="43" spans="1:13" ht="22.5" customHeight="1" thickBot="1">
      <c r="A43" s="642">
        <v>19</v>
      </c>
      <c r="B43" s="113"/>
      <c r="C43" s="1546"/>
      <c r="D43" s="1547"/>
      <c r="E43" s="65"/>
      <c r="F43" s="1544"/>
      <c r="G43" s="1545"/>
      <c r="H43" s="65"/>
      <c r="M43" s="87"/>
    </row>
    <row r="44" spans="1:13" ht="22.5" customHeight="1" thickBot="1">
      <c r="A44" s="642">
        <v>20</v>
      </c>
      <c r="B44" s="113"/>
      <c r="C44" s="1546"/>
      <c r="D44" s="1547"/>
      <c r="E44" s="65"/>
      <c r="F44" s="1544"/>
      <c r="G44" s="1545"/>
      <c r="H44" s="65"/>
      <c r="M44" s="87"/>
    </row>
    <row r="45" spans="1:13" ht="22.5" customHeight="1" thickBot="1">
      <c r="A45" s="642">
        <v>21</v>
      </c>
      <c r="B45" s="113"/>
      <c r="C45" s="1546"/>
      <c r="D45" s="1547"/>
      <c r="E45" s="65"/>
      <c r="F45" s="1544"/>
      <c r="G45" s="1545"/>
      <c r="H45" s="65"/>
      <c r="M45" s="87"/>
    </row>
    <row r="46" spans="1:13" ht="22.5" customHeight="1" thickBot="1">
      <c r="A46" s="642">
        <v>22</v>
      </c>
      <c r="B46" s="113"/>
      <c r="C46" s="1546"/>
      <c r="D46" s="1547"/>
      <c r="E46" s="65"/>
      <c r="F46" s="1544"/>
      <c r="G46" s="1545"/>
      <c r="H46" s="65"/>
      <c r="M46" s="87"/>
    </row>
    <row r="47" spans="1:13" ht="22.5" customHeight="1" thickBot="1">
      <c r="A47" s="642">
        <v>23</v>
      </c>
      <c r="B47" s="113"/>
      <c r="C47" s="1546"/>
      <c r="D47" s="1547"/>
      <c r="E47" s="65"/>
      <c r="F47" s="1544"/>
      <c r="G47" s="1545"/>
      <c r="H47" s="65"/>
      <c r="M47" s="175"/>
    </row>
    <row r="48" spans="1:13" ht="33" customHeight="1">
      <c r="A48" s="1573" t="s">
        <v>1569</v>
      </c>
      <c r="B48" s="1573"/>
      <c r="C48" s="1573"/>
      <c r="D48" s="1573"/>
      <c r="E48" s="1573"/>
      <c r="F48" s="1573"/>
      <c r="G48" s="1573"/>
      <c r="H48" s="1573"/>
      <c r="I48" s="1573"/>
      <c r="J48" s="812"/>
      <c r="L48" s="550" t="s">
        <v>1570</v>
      </c>
      <c r="M48" s="87"/>
    </row>
    <row r="49" spans="1:13" ht="18" customHeight="1">
      <c r="A49" s="813" t="s">
        <v>1571</v>
      </c>
      <c r="B49" s="814"/>
      <c r="C49" s="814"/>
      <c r="D49" s="814"/>
      <c r="E49" s="814"/>
      <c r="F49" s="814"/>
      <c r="G49" s="814"/>
      <c r="H49" s="814"/>
      <c r="I49" s="814"/>
      <c r="J49" s="812"/>
      <c r="L49" s="550"/>
      <c r="M49" s="87"/>
    </row>
    <row r="50" spans="1:13" ht="18" customHeight="1">
      <c r="A50" s="813" t="s">
        <v>1572</v>
      </c>
      <c r="B50" s="814"/>
      <c r="C50" s="814"/>
      <c r="D50" s="814"/>
      <c r="E50" s="814"/>
      <c r="F50" s="814"/>
      <c r="G50" s="814"/>
      <c r="H50" s="814"/>
      <c r="I50" s="814"/>
      <c r="L50" s="550"/>
      <c r="M50" s="87"/>
    </row>
    <row r="51" spans="1:13" ht="20.100000000000001" customHeight="1" thickBot="1">
      <c r="A51" s="1552" t="s">
        <v>1573</v>
      </c>
      <c r="B51" s="1553"/>
      <c r="C51" s="1553"/>
      <c r="D51" s="1553"/>
      <c r="E51" s="1553"/>
      <c r="F51" s="1553"/>
      <c r="G51" s="1553"/>
      <c r="H51" s="1554"/>
      <c r="M51" s="87"/>
    </row>
    <row r="52" spans="1:13" ht="20.100000000000001" customHeight="1">
      <c r="A52" s="1555" t="s">
        <v>2019</v>
      </c>
      <c r="B52" s="1556"/>
      <c r="C52" s="1556"/>
      <c r="D52" s="1556"/>
      <c r="E52" s="1556"/>
      <c r="F52" s="1556"/>
      <c r="G52" s="1556"/>
      <c r="H52" s="1557"/>
      <c r="K52" s="532" t="str">
        <f>IF(A52="","×","○")</f>
        <v>○</v>
      </c>
      <c r="M52" s="87"/>
    </row>
    <row r="53" spans="1:13" ht="20.100000000000001" customHeight="1">
      <c r="A53" s="1558"/>
      <c r="B53" s="1559"/>
      <c r="C53" s="1559"/>
      <c r="D53" s="1559"/>
      <c r="E53" s="1559"/>
      <c r="F53" s="1559"/>
      <c r="G53" s="1559"/>
      <c r="H53" s="1560"/>
      <c r="M53" s="87"/>
    </row>
    <row r="54" spans="1:13" ht="20.100000000000001" customHeight="1">
      <c r="A54" s="1558"/>
      <c r="B54" s="1559"/>
      <c r="C54" s="1559"/>
      <c r="D54" s="1559"/>
      <c r="E54" s="1559"/>
      <c r="F54" s="1559"/>
      <c r="G54" s="1559"/>
      <c r="H54" s="1560"/>
      <c r="M54" s="87"/>
    </row>
    <row r="55" spans="1:13" ht="20.100000000000001" customHeight="1" thickBot="1">
      <c r="A55" s="1561"/>
      <c r="B55" s="1562"/>
      <c r="C55" s="1562"/>
      <c r="D55" s="1562"/>
      <c r="E55" s="1562"/>
      <c r="F55" s="1562"/>
      <c r="G55" s="1562"/>
      <c r="H55" s="1563"/>
      <c r="M55" s="87"/>
    </row>
    <row r="56" spans="1:13" ht="24" customHeight="1">
      <c r="A56" s="1573" t="s">
        <v>1574</v>
      </c>
      <c r="B56" s="1573"/>
      <c r="C56" s="1573"/>
      <c r="D56" s="1573"/>
      <c r="E56" s="1573"/>
      <c r="F56" s="1573"/>
      <c r="G56" s="1573"/>
      <c r="H56" s="1573"/>
      <c r="I56" s="1573"/>
      <c r="J56" s="812"/>
      <c r="L56" s="550" t="s">
        <v>1570</v>
      </c>
      <c r="M56" s="87"/>
    </row>
    <row r="57" spans="1:13" ht="20.100000000000001" customHeight="1" thickBot="1">
      <c r="A57" s="1552" t="s">
        <v>1575</v>
      </c>
      <c r="B57" s="1553"/>
      <c r="C57" s="1553"/>
      <c r="D57" s="1553"/>
      <c r="E57" s="1553"/>
      <c r="F57" s="1553"/>
      <c r="G57" s="1553"/>
      <c r="H57" s="1554"/>
      <c r="M57" s="87"/>
    </row>
    <row r="58" spans="1:13" ht="20.100000000000001" customHeight="1">
      <c r="A58" s="1555" t="s">
        <v>2020</v>
      </c>
      <c r="B58" s="1556"/>
      <c r="C58" s="1556"/>
      <c r="D58" s="1556"/>
      <c r="E58" s="1556"/>
      <c r="F58" s="1556"/>
      <c r="G58" s="1556"/>
      <c r="H58" s="1557"/>
      <c r="K58" s="532" t="str">
        <f>IF(A58="","×","○")</f>
        <v>○</v>
      </c>
      <c r="M58" s="87"/>
    </row>
    <row r="59" spans="1:13" ht="20.100000000000001" customHeight="1">
      <c r="A59" s="1558"/>
      <c r="B59" s="1559"/>
      <c r="C59" s="1559"/>
      <c r="D59" s="1559"/>
      <c r="E59" s="1559"/>
      <c r="F59" s="1559"/>
      <c r="G59" s="1559"/>
      <c r="H59" s="1560"/>
      <c r="M59" s="87"/>
    </row>
    <row r="60" spans="1:13" ht="20.100000000000001" customHeight="1">
      <c r="A60" s="1558"/>
      <c r="B60" s="1559"/>
      <c r="C60" s="1559"/>
      <c r="D60" s="1559"/>
      <c r="E60" s="1559"/>
      <c r="F60" s="1559"/>
      <c r="G60" s="1559"/>
      <c r="H60" s="1560"/>
      <c r="M60" s="87"/>
    </row>
    <row r="61" spans="1:13" ht="20.100000000000001" customHeight="1" thickBot="1">
      <c r="A61" s="1561"/>
      <c r="B61" s="1562"/>
      <c r="C61" s="1562"/>
      <c r="D61" s="1562"/>
      <c r="E61" s="1562"/>
      <c r="F61" s="1562"/>
      <c r="G61" s="1562"/>
      <c r="H61" s="1563"/>
      <c r="M61" s="160"/>
    </row>
  </sheetData>
  <sheetProtection selectLockedCells="1"/>
  <mergeCells count="74">
    <mergeCell ref="C24:D24"/>
    <mergeCell ref="F22:G22"/>
    <mergeCell ref="F23:G23"/>
    <mergeCell ref="F24:G24"/>
    <mergeCell ref="B13:F13"/>
    <mergeCell ref="A17:F17"/>
    <mergeCell ref="A15:G15"/>
    <mergeCell ref="A21:H21"/>
    <mergeCell ref="C23:D23"/>
    <mergeCell ref="C22:D22"/>
    <mergeCell ref="A20:G20"/>
    <mergeCell ref="A9:F9"/>
    <mergeCell ref="A12:F12"/>
    <mergeCell ref="A1:I1"/>
    <mergeCell ref="A6:I6"/>
    <mergeCell ref="B10:F10"/>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C47:D47"/>
    <mergeCell ref="F41:G41"/>
    <mergeCell ref="F42:G42"/>
    <mergeCell ref="F43:G43"/>
    <mergeCell ref="F46:G46"/>
    <mergeCell ref="F47:G47"/>
    <mergeCell ref="C45:D45"/>
    <mergeCell ref="F45:G45"/>
    <mergeCell ref="C44:D44"/>
    <mergeCell ref="F44:G44"/>
    <mergeCell ref="C46:D46"/>
    <mergeCell ref="C27:D27"/>
    <mergeCell ref="F25:G25"/>
    <mergeCell ref="F26:G26"/>
    <mergeCell ref="F27:G27"/>
    <mergeCell ref="C37:D37"/>
    <mergeCell ref="C26:D26"/>
    <mergeCell ref="C25:D25"/>
    <mergeCell ref="C34:D34"/>
    <mergeCell ref="F34:G34"/>
    <mergeCell ref="C35:D35"/>
    <mergeCell ref="F35:G35"/>
    <mergeCell ref="C36:D36"/>
    <mergeCell ref="F36:G36"/>
    <mergeCell ref="C38:D38"/>
    <mergeCell ref="C39:D39"/>
    <mergeCell ref="C40:D40"/>
    <mergeCell ref="C28:D28"/>
    <mergeCell ref="C32:D32"/>
    <mergeCell ref="C31:D31"/>
    <mergeCell ref="C30:D30"/>
    <mergeCell ref="C29:D29"/>
    <mergeCell ref="F39:G39"/>
    <mergeCell ref="F40:G40"/>
    <mergeCell ref="F28:G28"/>
    <mergeCell ref="F29:G29"/>
    <mergeCell ref="F30:G30"/>
    <mergeCell ref="F31:G31"/>
    <mergeCell ref="F32:G32"/>
    <mergeCell ref="F33:G33"/>
    <mergeCell ref="F37:G37"/>
    <mergeCell ref="F38:G38"/>
  </mergeCells>
  <phoneticPr fontId="10"/>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47"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7"/>
  <sheetViews>
    <sheetView view="pageBreakPreview" zoomScaleNormal="100" zoomScaleSheetLayoutView="100" workbookViewId="0">
      <selection sqref="A1:H1"/>
    </sheetView>
  </sheetViews>
  <sheetFormatPr defaultColWidth="9" defaultRowHeight="13.5"/>
  <cols>
    <col min="1" max="2" width="3.625" style="125" customWidth="1"/>
    <col min="3" max="3" width="21.125" style="133" customWidth="1"/>
    <col min="4" max="4" width="10.625" style="133" customWidth="1"/>
    <col min="5" max="5" width="21.125" style="133" customWidth="1"/>
    <col min="6" max="6" width="10.625" style="133" customWidth="1"/>
    <col min="7" max="7" width="21.125" style="133" customWidth="1"/>
    <col min="8" max="8" width="6.625" style="125" customWidth="1"/>
    <col min="9" max="16384" width="9" style="125"/>
  </cols>
  <sheetData>
    <row r="1" spans="1:9" ht="50.1" customHeight="1">
      <c r="A1" s="1160" t="s">
        <v>150</v>
      </c>
      <c r="B1" s="1161"/>
      <c r="C1" s="1161"/>
      <c r="D1" s="1161"/>
      <c r="E1" s="1161"/>
      <c r="F1" s="1161"/>
      <c r="G1" s="1161"/>
      <c r="H1" s="1162"/>
      <c r="I1" s="124"/>
    </row>
    <row r="2" spans="1:9" ht="60" customHeight="1" thickBot="1">
      <c r="A2" s="126"/>
      <c r="B2" s="1163" t="s">
        <v>151</v>
      </c>
      <c r="C2" s="1163"/>
      <c r="D2" s="1163"/>
      <c r="E2" s="1163"/>
      <c r="F2" s="1163"/>
      <c r="G2" s="1163"/>
      <c r="H2" s="127"/>
    </row>
    <row r="3" spans="1:9" ht="24.95" customHeight="1" thickTop="1">
      <c r="A3" s="128" t="s">
        <v>152</v>
      </c>
      <c r="B3" s="129" t="s">
        <v>153</v>
      </c>
      <c r="C3" s="130"/>
      <c r="D3" s="130"/>
      <c r="E3" s="130"/>
      <c r="F3" s="130"/>
      <c r="G3" s="130"/>
      <c r="H3" s="131"/>
    </row>
    <row r="4" spans="1:9" ht="20.100000000000001" customHeight="1">
      <c r="A4" s="997"/>
      <c r="B4" s="132"/>
      <c r="C4" s="125" t="s">
        <v>154</v>
      </c>
      <c r="H4" s="134"/>
    </row>
    <row r="5" spans="1:9" ht="20.100000000000001" customHeight="1">
      <c r="A5" s="997"/>
      <c r="B5" s="132"/>
      <c r="C5" s="125" t="s">
        <v>155</v>
      </c>
      <c r="H5" s="134"/>
    </row>
    <row r="6" spans="1:9" ht="20.100000000000001" customHeight="1">
      <c r="A6" s="997"/>
      <c r="B6" s="132"/>
      <c r="C6" s="125" t="s">
        <v>156</v>
      </c>
      <c r="H6" s="134"/>
    </row>
    <row r="7" spans="1:9" ht="20.100000000000001" customHeight="1">
      <c r="A7" s="997"/>
      <c r="B7" s="132"/>
      <c r="C7" s="135" t="s">
        <v>157</v>
      </c>
      <c r="D7" s="136"/>
      <c r="E7" s="136"/>
      <c r="F7" s="136"/>
      <c r="G7" s="136"/>
      <c r="H7" s="134"/>
    </row>
    <row r="8" spans="1:9" ht="49.5" customHeight="1">
      <c r="A8" s="997"/>
      <c r="B8" s="132"/>
      <c r="C8" s="1164" t="s">
        <v>158</v>
      </c>
      <c r="D8" s="1164"/>
      <c r="E8" s="1164"/>
      <c r="F8" s="1164"/>
      <c r="G8" s="1164"/>
      <c r="H8" s="134"/>
      <c r="I8" s="124"/>
    </row>
    <row r="9" spans="1:9" s="135" customFormat="1" ht="20.100000000000001" customHeight="1" thickBot="1">
      <c r="A9" s="998"/>
      <c r="B9" s="137"/>
      <c r="C9" s="1165" t="s">
        <v>159</v>
      </c>
      <c r="D9" s="1166"/>
      <c r="E9" s="1166"/>
      <c r="F9" s="1166"/>
      <c r="G9" s="1166"/>
      <c r="H9" s="138"/>
      <c r="I9" s="998"/>
    </row>
    <row r="10" spans="1:9" ht="39.950000000000003" customHeight="1" thickBot="1">
      <c r="A10" s="997"/>
      <c r="B10" s="139"/>
      <c r="C10" s="1167" t="s">
        <v>160</v>
      </c>
      <c r="D10" s="1168"/>
      <c r="E10" s="1168"/>
      <c r="F10" s="1168"/>
      <c r="G10" s="1169"/>
      <c r="H10" s="134"/>
      <c r="I10" s="997"/>
    </row>
    <row r="11" spans="1:9" ht="5.0999999999999996" customHeight="1">
      <c r="A11" s="997"/>
      <c r="B11" s="139"/>
      <c r="C11" s="140"/>
      <c r="D11" s="140"/>
      <c r="E11" s="140"/>
      <c r="F11" s="140"/>
      <c r="G11" s="140"/>
      <c r="H11" s="134"/>
    </row>
    <row r="12" spans="1:9" ht="24.95" customHeight="1">
      <c r="A12" s="999" t="s">
        <v>152</v>
      </c>
      <c r="B12" s="141" t="s">
        <v>161</v>
      </c>
      <c r="C12" s="142"/>
      <c r="D12" s="142"/>
      <c r="E12" s="142"/>
      <c r="F12" s="142"/>
      <c r="G12" s="142"/>
      <c r="H12" s="143"/>
    </row>
    <row r="13" spans="1:9" ht="24.95" customHeight="1">
      <c r="A13" s="1000"/>
      <c r="B13" s="144" t="s">
        <v>162</v>
      </c>
      <c r="C13" s="144"/>
      <c r="H13" s="134"/>
    </row>
    <row r="14" spans="1:9" ht="20.100000000000001" customHeight="1">
      <c r="A14" s="1001"/>
      <c r="B14" s="145" t="s">
        <v>163</v>
      </c>
      <c r="C14" s="146" t="s">
        <v>164</v>
      </c>
      <c r="D14" s="147"/>
      <c r="E14" s="147"/>
      <c r="F14" s="147"/>
      <c r="G14" s="147"/>
      <c r="H14" s="148"/>
    </row>
    <row r="15" spans="1:9" ht="41.25" customHeight="1">
      <c r="A15" s="997"/>
      <c r="B15" s="132"/>
      <c r="C15" s="1170" t="s">
        <v>165</v>
      </c>
      <c r="D15" s="1170"/>
      <c r="E15" s="1170"/>
      <c r="F15" s="1170"/>
      <c r="G15" s="1170"/>
      <c r="H15" s="134"/>
      <c r="I15" s="124"/>
    </row>
    <row r="16" spans="1:9" ht="39.950000000000003" customHeight="1">
      <c r="A16" s="997"/>
      <c r="B16" s="132"/>
      <c r="C16" s="1155" t="s">
        <v>166</v>
      </c>
      <c r="D16" s="1155"/>
      <c r="E16" s="1155"/>
      <c r="F16" s="1155"/>
      <c r="G16" s="1155"/>
      <c r="H16" s="134"/>
    </row>
    <row r="17" spans="1:8" ht="66.75" customHeight="1">
      <c r="A17" s="997"/>
      <c r="B17" s="132"/>
      <c r="C17" s="1155" t="s">
        <v>167</v>
      </c>
      <c r="D17" s="1155"/>
      <c r="E17" s="1155"/>
      <c r="F17" s="1155"/>
      <c r="G17" s="1155"/>
      <c r="H17" s="134"/>
    </row>
    <row r="18" spans="1:8" ht="20.100000000000001" customHeight="1">
      <c r="A18" s="1001"/>
      <c r="B18" s="145" t="s">
        <v>163</v>
      </c>
      <c r="C18" s="149" t="s">
        <v>168</v>
      </c>
      <c r="D18" s="147"/>
      <c r="E18" s="147"/>
      <c r="F18" s="147"/>
      <c r="G18" s="147"/>
      <c r="H18" s="148"/>
    </row>
    <row r="19" spans="1:8" ht="39.950000000000003" customHeight="1">
      <c r="A19" s="997"/>
      <c r="B19" s="132"/>
      <c r="C19" s="1156" t="s">
        <v>169</v>
      </c>
      <c r="D19" s="1156"/>
      <c r="E19" s="1156"/>
      <c r="F19" s="1156"/>
      <c r="G19" s="1156"/>
      <c r="H19" s="134"/>
    </row>
    <row r="20" spans="1:8" ht="39.950000000000003" customHeight="1" thickBot="1">
      <c r="A20" s="997"/>
      <c r="B20" s="132"/>
      <c r="C20" s="1155" t="s">
        <v>170</v>
      </c>
      <c r="D20" s="1155"/>
      <c r="E20" s="1155"/>
      <c r="F20" s="1155"/>
      <c r="G20" s="1155"/>
      <c r="H20" s="134"/>
    </row>
    <row r="21" spans="1:8" ht="39.950000000000003" customHeight="1" thickBot="1">
      <c r="A21" s="997"/>
      <c r="B21" s="132"/>
      <c r="C21" s="1157" t="s">
        <v>171</v>
      </c>
      <c r="D21" s="1158"/>
      <c r="E21" s="1158"/>
      <c r="F21" s="1158"/>
      <c r="G21" s="1159"/>
      <c r="H21" s="134"/>
    </row>
    <row r="22" spans="1:8" ht="5.0999999999999996" customHeight="1">
      <c r="A22" s="997"/>
      <c r="B22" s="132"/>
      <c r="C22" s="150"/>
      <c r="D22" s="150"/>
      <c r="E22" s="150"/>
      <c r="F22" s="150"/>
      <c r="G22" s="150"/>
      <c r="H22" s="134"/>
    </row>
    <row r="23" spans="1:8" ht="20.100000000000001" customHeight="1">
      <c r="A23" s="1001"/>
      <c r="B23" s="145" t="s">
        <v>163</v>
      </c>
      <c r="C23" s="149" t="s">
        <v>172</v>
      </c>
      <c r="D23" s="147"/>
      <c r="E23" s="147"/>
      <c r="F23" s="147"/>
      <c r="G23" s="147"/>
      <c r="H23" s="148"/>
    </row>
    <row r="24" spans="1:8" ht="39.950000000000003" customHeight="1">
      <c r="A24" s="997"/>
      <c r="B24" s="132"/>
      <c r="C24" s="1155" t="s">
        <v>173</v>
      </c>
      <c r="D24" s="1155"/>
      <c r="E24" s="1155"/>
      <c r="F24" s="1155"/>
      <c r="G24" s="1155"/>
      <c r="H24" s="134"/>
    </row>
    <row r="25" spans="1:8" ht="39.950000000000003" customHeight="1">
      <c r="A25" s="997"/>
      <c r="B25" s="132"/>
      <c r="C25" s="1156" t="s">
        <v>174</v>
      </c>
      <c r="D25" s="1156"/>
      <c r="E25" s="1156"/>
      <c r="F25" s="1156"/>
      <c r="G25" s="1156"/>
      <c r="H25" s="134"/>
    </row>
    <row r="26" spans="1:8" ht="20.100000000000001" customHeight="1" thickBot="1">
      <c r="A26" s="997"/>
      <c r="B26" s="132"/>
      <c r="C26" s="125" t="s">
        <v>175</v>
      </c>
      <c r="H26" s="134"/>
    </row>
    <row r="27" spans="1:8" ht="21.75" customHeight="1" thickBot="1">
      <c r="A27" s="997"/>
      <c r="B27" s="132"/>
      <c r="C27" s="151"/>
      <c r="E27" s="152"/>
      <c r="G27" s="153"/>
      <c r="H27" s="134"/>
    </row>
    <row r="28" spans="1:8" ht="20.100000000000001" customHeight="1">
      <c r="A28" s="997"/>
      <c r="B28" s="132"/>
      <c r="C28" s="139" t="s">
        <v>176</v>
      </c>
      <c r="E28" s="139" t="s">
        <v>177</v>
      </c>
      <c r="G28" s="139" t="s">
        <v>178</v>
      </c>
      <c r="H28" s="134"/>
    </row>
    <row r="29" spans="1:8" ht="39.950000000000003" customHeight="1" thickBot="1">
      <c r="A29" s="997"/>
      <c r="B29" s="132"/>
      <c r="C29" s="1155" t="s">
        <v>179</v>
      </c>
      <c r="D29" s="1155"/>
      <c r="E29" s="1155"/>
      <c r="F29" s="1155"/>
      <c r="G29" s="1155"/>
      <c r="H29" s="134"/>
    </row>
    <row r="30" spans="1:8" ht="39.950000000000003" customHeight="1" thickBot="1">
      <c r="A30" s="997"/>
      <c r="B30" s="132"/>
      <c r="C30" s="1157" t="s">
        <v>180</v>
      </c>
      <c r="D30" s="1158"/>
      <c r="E30" s="1158"/>
      <c r="F30" s="1158"/>
      <c r="G30" s="1159"/>
      <c r="H30" s="134"/>
    </row>
    <row r="31" spans="1:8" ht="5.0999999999999996" customHeight="1">
      <c r="A31" s="997"/>
      <c r="B31" s="132"/>
      <c r="C31" s="150"/>
      <c r="D31" s="150"/>
      <c r="E31" s="150"/>
      <c r="F31" s="150"/>
      <c r="G31" s="150"/>
      <c r="H31" s="134"/>
    </row>
    <row r="32" spans="1:8" ht="20.100000000000001" customHeight="1">
      <c r="A32" s="1001"/>
      <c r="B32" s="154" t="s">
        <v>163</v>
      </c>
      <c r="C32" s="155" t="s">
        <v>181</v>
      </c>
      <c r="D32" s="156"/>
      <c r="E32" s="156"/>
      <c r="F32" s="156"/>
      <c r="G32" s="156"/>
      <c r="H32" s="148"/>
    </row>
    <row r="33" spans="1:9" ht="20.100000000000001" customHeight="1">
      <c r="A33" s="997"/>
      <c r="B33" s="139"/>
      <c r="C33" s="144" t="s">
        <v>182</v>
      </c>
      <c r="D33" s="157"/>
      <c r="E33" s="157"/>
      <c r="F33" s="157"/>
      <c r="G33" s="157"/>
      <c r="H33" s="134"/>
    </row>
    <row r="34" spans="1:9" ht="39.950000000000003" customHeight="1">
      <c r="A34" s="997"/>
      <c r="B34" s="139"/>
      <c r="C34" s="1154" t="s">
        <v>183</v>
      </c>
      <c r="D34" s="1154"/>
      <c r="E34" s="1154"/>
      <c r="F34" s="1154"/>
      <c r="G34" s="1154"/>
      <c r="H34" s="134"/>
    </row>
    <row r="35" spans="1:9" ht="39.950000000000003" customHeight="1">
      <c r="A35" s="997"/>
      <c r="B35" s="139"/>
      <c r="C35" s="1155" t="s">
        <v>184</v>
      </c>
      <c r="D35" s="1155"/>
      <c r="E35" s="1155"/>
      <c r="F35" s="1155"/>
      <c r="G35" s="1155"/>
      <c r="H35" s="134"/>
    </row>
    <row r="36" spans="1:9" ht="5.0999999999999996" customHeight="1">
      <c r="A36" s="997"/>
      <c r="B36" s="132"/>
      <c r="C36" s="150"/>
      <c r="D36" s="150"/>
      <c r="E36" s="150"/>
      <c r="F36" s="150"/>
      <c r="G36" s="150"/>
      <c r="H36" s="134"/>
    </row>
    <row r="37" spans="1:9">
      <c r="I37" s="158"/>
    </row>
  </sheetData>
  <sheetProtection selectLockedCells="1"/>
  <mergeCells count="17">
    <mergeCell ref="C17:G17"/>
    <mergeCell ref="C16:G16"/>
    <mergeCell ref="A1:H1"/>
    <mergeCell ref="B2:G2"/>
    <mergeCell ref="C8:G8"/>
    <mergeCell ref="C9:G9"/>
    <mergeCell ref="C10:G10"/>
    <mergeCell ref="C15:G15"/>
    <mergeCell ref="C34:G34"/>
    <mergeCell ref="C35:G35"/>
    <mergeCell ref="C19:G19"/>
    <mergeCell ref="C20:G20"/>
    <mergeCell ref="C21:G21"/>
    <mergeCell ref="C24:G24"/>
    <mergeCell ref="C29:G29"/>
    <mergeCell ref="C30:G30"/>
    <mergeCell ref="C25:G25"/>
  </mergeCells>
  <phoneticPr fontId="10"/>
  <dataValidations count="2">
    <dataValidation type="list" allowBlank="1" showInputMessage="1" showErrorMessage="1" sqref="G27" xr:uid="{00000000-0002-0000-0100-000000000000}">
      <formula1>"はい,いいえ"</formula1>
    </dataValidation>
    <dataValidation type="decimal" imeMode="disabled" operator="greaterThanOrEqual" allowBlank="1" showInputMessage="1" showErrorMessage="1" error="数値を入力してください" prompt="数値を入力" sqref="E27"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78" orientation="portrait" cellComments="asDisplayed" r:id="rId1"/>
  <headerFooter>
    <oddHeader>&amp;Rver.2.0</oddHeader>
    <oddFooter>&amp;C&amp;P/&amp;N&amp;R&amp;A</oddFooter>
  </headerFooter>
  <rowBreaks count="1" manualBreakCount="1">
    <brk id="17"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zoomScaleNormal="85" zoomScaleSheetLayoutView="100" workbookViewId="0">
      <selection activeCell="B49" sqref="B49"/>
    </sheetView>
  </sheetViews>
  <sheetFormatPr defaultColWidth="9" defaultRowHeight="20.100000000000001" customHeight="1"/>
  <cols>
    <col min="1" max="1" width="3.625" style="793" customWidth="1"/>
    <col min="2" max="2" width="22.625" style="793" customWidth="1"/>
    <col min="3" max="3" width="16.875" style="793" customWidth="1"/>
    <col min="4" max="4" width="42.375" style="793" customWidth="1"/>
    <col min="5" max="5" width="3.375" style="793" customWidth="1"/>
    <col min="6" max="6" width="37.875" style="793" customWidth="1"/>
    <col min="7" max="7" width="19.875" style="793" customWidth="1"/>
    <col min="8" max="8" width="9" style="793"/>
    <col min="9" max="9" width="2.625" style="793" customWidth="1"/>
    <col min="10" max="10" width="6" style="793" hidden="1" customWidth="1"/>
    <col min="11" max="11" width="2.25" style="793" hidden="1" customWidth="1"/>
    <col min="12" max="12" width="1.375" style="815" hidden="1" customWidth="1"/>
    <col min="13" max="13" width="82.75" style="816" bestFit="1" customWidth="1"/>
    <col min="14" max="14" width="0" style="793" hidden="1" customWidth="1"/>
    <col min="15" max="15" width="5" style="793" hidden="1" customWidth="1"/>
    <col min="16" max="16384" width="9" style="793"/>
  </cols>
  <sheetData>
    <row r="1" spans="1:15" ht="34.5" customHeight="1" thickBot="1">
      <c r="A1" s="1225" t="s">
        <v>1576</v>
      </c>
      <c r="B1" s="1225"/>
      <c r="C1" s="1225"/>
      <c r="D1" s="1225"/>
      <c r="E1" s="1225"/>
      <c r="F1" s="1225"/>
      <c r="G1" s="1225"/>
      <c r="H1" s="1225"/>
      <c r="K1" s="64"/>
    </row>
    <row r="2" spans="1:15" ht="31.5" customHeight="1" thickTop="1" thickBot="1">
      <c r="A2" s="1228" t="s">
        <v>1348</v>
      </c>
      <c r="B2" s="1228"/>
      <c r="C2" s="1228"/>
      <c r="D2" s="1228"/>
      <c r="E2" s="1228"/>
      <c r="F2" s="1228"/>
      <c r="G2" s="1248"/>
      <c r="H2" s="533" t="str">
        <f>IF(COUNTIF(J7:J46,"×")&gt;=1,"未入力あり","入力済")</f>
        <v>入力済</v>
      </c>
      <c r="I2" s="1595"/>
      <c r="J2" s="817"/>
      <c r="K2" s="64"/>
      <c r="M2" s="99"/>
    </row>
    <row r="3" spans="1:15" ht="5.0999999999999996" customHeight="1" thickTop="1">
      <c r="I3" s="1595"/>
      <c r="J3" s="817"/>
      <c r="K3" s="9"/>
    </row>
    <row r="4" spans="1:15" ht="20.100000000000001" customHeight="1">
      <c r="D4" s="596" t="s">
        <v>1222</v>
      </c>
      <c r="E4" s="1564" t="str">
        <f>表紙!$E$2</f>
        <v>市立豊中病院</v>
      </c>
      <c r="F4" s="1565"/>
      <c r="G4" s="1565"/>
      <c r="H4" s="1566"/>
      <c r="I4" s="1595"/>
      <c r="J4" s="817"/>
      <c r="K4" s="64"/>
    </row>
    <row r="5" spans="1:15" ht="20.100000000000001" customHeight="1">
      <c r="D5" s="536" t="s">
        <v>1223</v>
      </c>
      <c r="E5" s="1" t="str">
        <f>+'事務局使用（発出時は非表示にすること）'!B3</f>
        <v>令和６年９月１日時点</v>
      </c>
      <c r="F5" s="536"/>
      <c r="I5" s="1595"/>
      <c r="J5" s="817"/>
      <c r="M5" s="188" t="s">
        <v>268</v>
      </c>
    </row>
    <row r="6" spans="1:15" s="581" customFormat="1" ht="18" customHeight="1" thickBot="1">
      <c r="A6" s="1287" t="s">
        <v>1577</v>
      </c>
      <c r="B6" s="1287"/>
      <c r="C6" s="1287"/>
      <c r="D6" s="1287"/>
      <c r="E6" s="1287"/>
      <c r="F6" s="1287"/>
      <c r="G6" s="1287"/>
      <c r="H6" s="1287"/>
      <c r="I6" s="1595"/>
      <c r="J6" s="817"/>
      <c r="L6" s="61"/>
      <c r="M6" s="87"/>
    </row>
    <row r="7" spans="1:15" s="581" customFormat="1" ht="18" customHeight="1" thickBot="1">
      <c r="A7" s="581" t="s">
        <v>1578</v>
      </c>
      <c r="D7" s="818"/>
      <c r="E7" s="1426">
        <v>11</v>
      </c>
      <c r="F7" s="1427"/>
      <c r="G7" s="1607" t="str">
        <f>G12</f>
        <v>（期間：令和５年１月１日～12月31日）</v>
      </c>
      <c r="H7" s="1287"/>
      <c r="J7" s="581" t="str">
        <f>IF(E7="","×","○")</f>
        <v>○</v>
      </c>
      <c r="L7" s="61"/>
      <c r="M7" s="87"/>
      <c r="N7" s="624">
        <v>0</v>
      </c>
      <c r="O7" s="632">
        <v>100</v>
      </c>
    </row>
    <row r="8" spans="1:15" s="581" customFormat="1" ht="53.25" customHeight="1" thickBot="1">
      <c r="A8" s="583" t="s">
        <v>1579</v>
      </c>
      <c r="B8" s="583"/>
      <c r="C8" s="583"/>
      <c r="D8" s="818"/>
      <c r="E8" s="1605" t="s">
        <v>2021</v>
      </c>
      <c r="F8" s="1606"/>
      <c r="G8" s="818" t="s">
        <v>1580</v>
      </c>
      <c r="H8" s="818"/>
      <c r="J8" s="581" t="str">
        <f>IF(E8="","×","○")</f>
        <v>○</v>
      </c>
      <c r="L8" s="61"/>
      <c r="M8" s="87"/>
    </row>
    <row r="9" spans="1:15" s="581" customFormat="1" ht="18" customHeight="1" thickBot="1">
      <c r="A9" s="583" t="s">
        <v>1581</v>
      </c>
      <c r="B9" s="583"/>
      <c r="C9" s="583"/>
      <c r="D9" s="818"/>
      <c r="E9" s="819"/>
      <c r="F9" s="819"/>
      <c r="G9" s="818"/>
      <c r="H9" s="818"/>
      <c r="L9" s="61"/>
      <c r="M9" s="87"/>
    </row>
    <row r="10" spans="1:15" s="581" customFormat="1" ht="20.25" customHeight="1" thickBot="1">
      <c r="A10" s="1287" t="s">
        <v>1582</v>
      </c>
      <c r="B10" s="1532"/>
      <c r="C10" s="1532"/>
      <c r="D10" s="1610"/>
      <c r="E10" s="1611" t="s">
        <v>1936</v>
      </c>
      <c r="F10" s="1609"/>
      <c r="G10" s="818" t="s">
        <v>1583</v>
      </c>
      <c r="H10" s="818"/>
      <c r="J10" s="581" t="str">
        <f>IF(E10="","×","○")</f>
        <v>○</v>
      </c>
      <c r="L10" s="61"/>
      <c r="M10" s="87"/>
    </row>
    <row r="11" spans="1:15" s="581" customFormat="1" ht="32.25" customHeight="1" thickBot="1">
      <c r="A11" s="583" t="s">
        <v>1584</v>
      </c>
      <c r="B11" s="583"/>
      <c r="C11" s="583"/>
      <c r="D11" s="583"/>
      <c r="E11" s="1605" t="s">
        <v>2022</v>
      </c>
      <c r="F11" s="1606"/>
      <c r="G11" s="818" t="s">
        <v>1585</v>
      </c>
      <c r="H11" s="818"/>
      <c r="J11" s="581" t="str">
        <f>IF(AND(E10="はい",E11=""),"×","○")</f>
        <v>○</v>
      </c>
      <c r="L11" s="61"/>
      <c r="M11" s="87"/>
    </row>
    <row r="12" spans="1:15" s="581" customFormat="1" ht="28.5" customHeight="1" thickBot="1">
      <c r="A12" s="583" t="s">
        <v>1586</v>
      </c>
      <c r="B12" s="583"/>
      <c r="C12" s="583"/>
      <c r="D12" s="583"/>
      <c r="E12" s="1426">
        <v>0</v>
      </c>
      <c r="F12" s="1427"/>
      <c r="G12" s="1607" t="str">
        <f>G18</f>
        <v>（期間：令和５年１月１日～12月31日）</v>
      </c>
      <c r="H12" s="1287"/>
      <c r="J12" s="581" t="str">
        <f>IF(AND(E10="はい",E12=""),"×","○")</f>
        <v>○</v>
      </c>
      <c r="L12" s="61"/>
      <c r="M12" s="178"/>
      <c r="N12" s="624">
        <v>0</v>
      </c>
      <c r="O12" s="632">
        <v>1000</v>
      </c>
    </row>
    <row r="13" spans="1:15" s="581" customFormat="1" ht="18" customHeight="1" thickBot="1">
      <c r="A13" s="583" t="s">
        <v>1587</v>
      </c>
      <c r="B13" s="583"/>
      <c r="C13" s="583"/>
      <c r="D13" s="818"/>
      <c r="E13" s="819"/>
      <c r="F13" s="819"/>
      <c r="G13" s="818"/>
      <c r="H13" s="818"/>
      <c r="L13" s="61"/>
      <c r="M13" s="87"/>
    </row>
    <row r="14" spans="1:15" s="581" customFormat="1" ht="18" customHeight="1" thickBot="1">
      <c r="A14" s="583" t="s">
        <v>1588</v>
      </c>
      <c r="B14" s="583"/>
      <c r="C14" s="583"/>
      <c r="D14" s="818"/>
      <c r="E14" s="1605" t="s">
        <v>2023</v>
      </c>
      <c r="F14" s="1606"/>
      <c r="G14" s="818" t="s">
        <v>1585</v>
      </c>
      <c r="H14" s="818"/>
      <c r="J14" s="581" t="str">
        <f>IF(E14="","×","○")</f>
        <v>○</v>
      </c>
      <c r="L14" s="61"/>
      <c r="M14" s="175"/>
    </row>
    <row r="15" spans="1:15" s="581" customFormat="1" ht="18" customHeight="1" thickBot="1">
      <c r="A15" s="583" t="s">
        <v>1589</v>
      </c>
      <c r="B15" s="583"/>
      <c r="C15" s="583"/>
      <c r="D15" s="818"/>
      <c r="E15" s="1608" t="s">
        <v>1936</v>
      </c>
      <c r="F15" s="1609"/>
      <c r="G15" s="818" t="s">
        <v>1583</v>
      </c>
      <c r="H15" s="818"/>
      <c r="J15" s="581" t="str">
        <f t="shared" ref="J15:J16" si="0">IF(E15="","×","○")</f>
        <v>○</v>
      </c>
      <c r="L15" s="61"/>
      <c r="M15" s="175"/>
    </row>
    <row r="16" spans="1:15" s="581" customFormat="1" ht="18" customHeight="1" thickBot="1">
      <c r="A16" s="583" t="s">
        <v>1590</v>
      </c>
      <c r="B16" s="583"/>
      <c r="C16" s="583"/>
      <c r="D16" s="818"/>
      <c r="E16" s="1608" t="s">
        <v>1936</v>
      </c>
      <c r="F16" s="1609"/>
      <c r="G16" s="818" t="s">
        <v>1583</v>
      </c>
      <c r="H16" s="818"/>
      <c r="J16" s="581" t="str">
        <f t="shared" si="0"/>
        <v>○</v>
      </c>
      <c r="L16" s="61"/>
      <c r="M16" s="175"/>
    </row>
    <row r="17" spans="1:15" s="581" customFormat="1" ht="18" customHeight="1" thickBot="1">
      <c r="A17" s="583" t="s">
        <v>1591</v>
      </c>
      <c r="B17" s="583"/>
      <c r="C17" s="583"/>
      <c r="D17" s="818"/>
      <c r="E17" s="1612"/>
      <c r="F17" s="1612"/>
      <c r="H17" s="818"/>
      <c r="L17" s="61"/>
      <c r="M17" s="175"/>
    </row>
    <row r="18" spans="1:15" s="581" customFormat="1" ht="18" customHeight="1" thickBot="1">
      <c r="A18" s="583" t="s">
        <v>1592</v>
      </c>
      <c r="B18" s="583"/>
      <c r="C18" s="583"/>
      <c r="D18" s="818"/>
      <c r="E18" s="1426">
        <v>0</v>
      </c>
      <c r="F18" s="1427"/>
      <c r="G18" s="581" t="str">
        <f>+"（期間："&amp;'事務局使用（発出時は非表示にすること）'!B4&amp;"）"</f>
        <v>（期間：令和５年１月１日～12月31日）</v>
      </c>
      <c r="H18" s="818"/>
      <c r="J18" s="581" t="str">
        <f>IF(E18="","×","○")</f>
        <v>○</v>
      </c>
      <c r="L18" s="61"/>
      <c r="M18" s="175"/>
      <c r="N18" s="624">
        <v>0</v>
      </c>
      <c r="O18" s="632">
        <v>100</v>
      </c>
    </row>
    <row r="19" spans="1:15" s="581" customFormat="1" ht="18" customHeight="1" thickBot="1">
      <c r="A19" s="583" t="s">
        <v>1593</v>
      </c>
      <c r="B19" s="583"/>
      <c r="C19" s="583"/>
      <c r="D19" s="818"/>
      <c r="E19" s="1426">
        <v>3</v>
      </c>
      <c r="F19" s="1427"/>
      <c r="G19" s="581" t="str">
        <f>G18</f>
        <v>（期間：令和５年１月１日～12月31日）</v>
      </c>
      <c r="H19" s="818"/>
      <c r="J19" s="581" t="str">
        <f>IF(E19="","×","○")</f>
        <v>○</v>
      </c>
      <c r="L19" s="61"/>
      <c r="M19" s="175"/>
      <c r="N19" s="624">
        <v>0</v>
      </c>
      <c r="O19" s="632">
        <v>100</v>
      </c>
    </row>
    <row r="20" spans="1:15" s="581" customFormat="1" ht="18" customHeight="1" thickBot="1">
      <c r="A20" s="583" t="s">
        <v>1594</v>
      </c>
      <c r="B20" s="583"/>
      <c r="C20" s="583"/>
      <c r="D20" s="818"/>
      <c r="E20" s="1608" t="s">
        <v>1936</v>
      </c>
      <c r="F20" s="1609"/>
      <c r="G20" s="818" t="s">
        <v>1583</v>
      </c>
      <c r="H20" s="818"/>
      <c r="J20" s="581" t="str">
        <f>IF(E20="","×","○")</f>
        <v>○</v>
      </c>
      <c r="L20" s="61"/>
      <c r="M20" s="87"/>
    </row>
    <row r="21" spans="1:15" s="581" customFormat="1" ht="51" customHeight="1" thickBot="1">
      <c r="A21" s="583" t="s">
        <v>1595</v>
      </c>
      <c r="B21" s="583"/>
      <c r="C21" s="583"/>
      <c r="D21" s="818"/>
      <c r="E21" s="1605" t="s">
        <v>2024</v>
      </c>
      <c r="F21" s="1606"/>
      <c r="G21" s="818" t="s">
        <v>1585</v>
      </c>
      <c r="H21" s="818"/>
      <c r="J21" s="581" t="str">
        <f>IF(AND(E20="はい",E21=""),"×","○")</f>
        <v>○</v>
      </c>
      <c r="L21" s="61"/>
      <c r="M21" s="87"/>
    </row>
    <row r="22" spans="1:15" s="581" customFormat="1" ht="18" customHeight="1" thickBot="1">
      <c r="A22" s="583" t="s">
        <v>1596</v>
      </c>
      <c r="B22" s="583"/>
      <c r="C22" s="583"/>
      <c r="D22" s="818"/>
      <c r="E22" s="1608" t="s">
        <v>1934</v>
      </c>
      <c r="F22" s="1609"/>
      <c r="G22" s="818" t="s">
        <v>1583</v>
      </c>
      <c r="H22" s="818"/>
      <c r="J22" s="581" t="str">
        <f>IF(E22="","×","○")</f>
        <v>○</v>
      </c>
      <c r="L22" s="61"/>
      <c r="M22" s="87"/>
    </row>
    <row r="23" spans="1:15" s="581" customFormat="1" ht="55.5" customHeight="1" thickBot="1">
      <c r="A23" s="583" t="s">
        <v>1597</v>
      </c>
      <c r="B23" s="583"/>
      <c r="C23" s="583"/>
      <c r="D23" s="818"/>
      <c r="E23" s="1605"/>
      <c r="F23" s="1606"/>
      <c r="G23" s="818" t="s">
        <v>1585</v>
      </c>
      <c r="H23" s="818"/>
      <c r="J23" s="581" t="str">
        <f>IF(AND(E22="はい",E23=""),"×","○")</f>
        <v>○</v>
      </c>
      <c r="L23" s="61"/>
      <c r="M23" s="87"/>
    </row>
    <row r="24" spans="1:15" s="581" customFormat="1" ht="18" customHeight="1" thickBot="1">
      <c r="A24" s="583" t="s">
        <v>1598</v>
      </c>
      <c r="B24" s="583"/>
      <c r="C24" s="583"/>
      <c r="D24" s="818"/>
      <c r="E24" s="1608" t="s">
        <v>1936</v>
      </c>
      <c r="F24" s="1609"/>
      <c r="G24" s="818" t="s">
        <v>1583</v>
      </c>
      <c r="H24" s="818"/>
      <c r="J24" s="581" t="str">
        <f t="shared" ref="J24:J28" si="1">IF(E24="","×","○")</f>
        <v>○</v>
      </c>
      <c r="L24" s="61"/>
      <c r="M24" s="87"/>
    </row>
    <row r="25" spans="1:15" s="581" customFormat="1" ht="18" customHeight="1" thickBot="1">
      <c r="A25" s="583" t="s">
        <v>1599</v>
      </c>
      <c r="B25" s="583"/>
      <c r="C25" s="583"/>
      <c r="D25" s="818"/>
      <c r="E25" s="1608" t="s">
        <v>1936</v>
      </c>
      <c r="F25" s="1609"/>
      <c r="G25" s="818" t="s">
        <v>1583</v>
      </c>
      <c r="H25" s="818"/>
      <c r="J25" s="581" t="str">
        <f t="shared" si="1"/>
        <v>○</v>
      </c>
      <c r="L25" s="61"/>
      <c r="M25" s="87"/>
    </row>
    <row r="26" spans="1:15" s="581" customFormat="1" ht="18" customHeight="1" thickBot="1">
      <c r="A26" s="583" t="s">
        <v>1600</v>
      </c>
      <c r="B26" s="583"/>
      <c r="C26" s="583"/>
      <c r="D26" s="818"/>
      <c r="E26" s="1608" t="s">
        <v>1936</v>
      </c>
      <c r="F26" s="1609"/>
      <c r="G26" s="818" t="s">
        <v>1583</v>
      </c>
      <c r="H26" s="818"/>
      <c r="J26" s="581" t="str">
        <f t="shared" si="1"/>
        <v>○</v>
      </c>
      <c r="L26" s="61"/>
      <c r="M26" s="87"/>
    </row>
    <row r="27" spans="1:15" ht="20.100000000000001" customHeight="1" thickBot="1">
      <c r="A27" s="581" t="s">
        <v>1601</v>
      </c>
      <c r="B27" s="581"/>
      <c r="C27" s="532"/>
      <c r="D27" s="532"/>
      <c r="M27" s="185"/>
    </row>
    <row r="28" spans="1:15" ht="20.100000000000001" customHeight="1" thickBot="1">
      <c r="A28" s="581"/>
      <c r="B28" s="581" t="s">
        <v>1602</v>
      </c>
      <c r="C28" s="532"/>
      <c r="D28" s="532"/>
      <c r="E28" s="1611" t="s">
        <v>1934</v>
      </c>
      <c r="F28" s="1609"/>
      <c r="G28" s="581" t="s">
        <v>1583</v>
      </c>
      <c r="J28" s="581" t="str">
        <f t="shared" si="1"/>
        <v>○</v>
      </c>
      <c r="M28" s="185"/>
    </row>
    <row r="29" spans="1:15" s="581" customFormat="1" ht="18" customHeight="1" thickBot="1">
      <c r="A29" s="583" t="s">
        <v>1603</v>
      </c>
      <c r="B29" s="583"/>
      <c r="C29" s="583"/>
      <c r="D29" s="818"/>
      <c r="E29" s="818"/>
      <c r="F29" s="818"/>
      <c r="G29" s="818"/>
      <c r="H29" s="818"/>
      <c r="L29" s="61"/>
      <c r="M29" s="87"/>
    </row>
    <row r="30" spans="1:15" s="581" customFormat="1" ht="18" customHeight="1" thickBot="1">
      <c r="A30" s="583" t="s">
        <v>1604</v>
      </c>
      <c r="B30" s="583"/>
      <c r="C30" s="583"/>
      <c r="D30" s="818"/>
      <c r="E30" s="1426">
        <v>12</v>
      </c>
      <c r="F30" s="1427"/>
      <c r="G30" s="581" t="str">
        <f>G18</f>
        <v>（期間：令和５年１月１日～12月31日）</v>
      </c>
      <c r="H30" s="818"/>
      <c r="J30" s="581" t="str">
        <f>IF(E30="","×","○")</f>
        <v>○</v>
      </c>
      <c r="L30" s="61"/>
      <c r="M30" s="87"/>
      <c r="N30" s="624">
        <v>0</v>
      </c>
      <c r="O30" s="632">
        <v>100</v>
      </c>
    </row>
    <row r="31" spans="1:15" s="581" customFormat="1" ht="18" customHeight="1" thickBot="1">
      <c r="A31" s="583" t="s">
        <v>1605</v>
      </c>
      <c r="B31" s="583"/>
      <c r="C31" s="583"/>
      <c r="D31" s="818"/>
      <c r="E31" s="1426">
        <v>0</v>
      </c>
      <c r="F31" s="1427"/>
      <c r="G31" s="581" t="str">
        <f>G30</f>
        <v>（期間：令和５年１月１日～12月31日）</v>
      </c>
      <c r="H31" s="818"/>
      <c r="J31" s="581" t="str">
        <f>IF(E31="","×","○")</f>
        <v>○</v>
      </c>
      <c r="L31" s="61"/>
      <c r="M31" s="87"/>
      <c r="N31" s="624">
        <v>0</v>
      </c>
      <c r="O31" s="632">
        <v>100</v>
      </c>
    </row>
    <row r="32" spans="1:15" s="581" customFormat="1" ht="18" customHeight="1" thickBot="1">
      <c r="A32" s="583"/>
      <c r="B32" s="583" t="s">
        <v>1606</v>
      </c>
      <c r="C32" s="583"/>
      <c r="D32" s="818"/>
      <c r="E32" s="1426">
        <v>0</v>
      </c>
      <c r="F32" s="1427"/>
      <c r="G32" s="581" t="str">
        <f>G31</f>
        <v>（期間：令和５年１月１日～12月31日）</v>
      </c>
      <c r="H32" s="818"/>
      <c r="J32" s="581" t="str">
        <f>IF(E32="","×","○")</f>
        <v>○</v>
      </c>
      <c r="L32" s="61"/>
      <c r="M32" s="87"/>
      <c r="N32" s="624">
        <v>0</v>
      </c>
      <c r="O32" s="632">
        <v>100</v>
      </c>
    </row>
    <row r="33" spans="1:15" s="581" customFormat="1" ht="18" customHeight="1" thickBot="1">
      <c r="A33" s="583" t="s">
        <v>1607</v>
      </c>
      <c r="B33" s="583"/>
      <c r="C33" s="583"/>
      <c r="D33" s="818"/>
      <c r="E33" s="1426">
        <v>0</v>
      </c>
      <c r="F33" s="1427"/>
      <c r="G33" s="581" t="str">
        <f>G32</f>
        <v>（期間：令和５年１月１日～12月31日）</v>
      </c>
      <c r="H33" s="818"/>
      <c r="J33" s="581" t="str">
        <f>IF(E33="","×","○")</f>
        <v>○</v>
      </c>
      <c r="L33" s="61"/>
      <c r="M33" s="87"/>
      <c r="N33" s="624">
        <v>0</v>
      </c>
      <c r="O33" s="632">
        <v>100</v>
      </c>
    </row>
    <row r="34" spans="1:15" s="581" customFormat="1" ht="16.5" customHeight="1" thickBot="1">
      <c r="A34" s="1594" t="s">
        <v>1608</v>
      </c>
      <c r="B34" s="1594"/>
      <c r="C34" s="1594"/>
      <c r="D34" s="1594"/>
      <c r="E34" s="1594"/>
      <c r="F34" s="1594"/>
      <c r="G34" s="1594"/>
      <c r="H34" s="1594"/>
      <c r="L34" s="61"/>
      <c r="M34" s="87"/>
    </row>
    <row r="35" spans="1:15" s="581" customFormat="1" ht="18" customHeight="1" thickBot="1">
      <c r="A35" s="583" t="s">
        <v>1609</v>
      </c>
      <c r="B35" s="583"/>
      <c r="C35" s="583"/>
      <c r="D35" s="818"/>
      <c r="E35" s="1426">
        <v>5</v>
      </c>
      <c r="F35" s="1427"/>
      <c r="G35" s="818"/>
      <c r="H35" s="818"/>
      <c r="J35" s="581" t="str">
        <f>IF(E35="","×","○")</f>
        <v>○</v>
      </c>
      <c r="L35" s="61"/>
      <c r="M35" s="87"/>
      <c r="N35" s="624">
        <v>0</v>
      </c>
      <c r="O35" s="632">
        <v>100</v>
      </c>
    </row>
    <row r="36" spans="1:15" s="581" customFormat="1" ht="18" customHeight="1">
      <c r="A36" s="583"/>
      <c r="B36" s="583"/>
      <c r="C36" s="583"/>
      <c r="D36" s="818"/>
      <c r="E36" s="820"/>
      <c r="F36" s="820"/>
      <c r="G36" s="818"/>
      <c r="H36" s="818"/>
      <c r="L36" s="61"/>
      <c r="M36" s="87"/>
    </row>
    <row r="37" spans="1:15" s="581" customFormat="1" ht="13.5" customHeight="1">
      <c r="A37" s="1532" t="s">
        <v>1610</v>
      </c>
      <c r="B37" s="1532"/>
      <c r="C37" s="1532"/>
      <c r="D37" s="1532"/>
      <c r="E37" s="1532"/>
      <c r="F37" s="1532"/>
      <c r="G37" s="1532"/>
      <c r="L37" s="61"/>
      <c r="M37" s="87"/>
    </row>
    <row r="38" spans="1:15" s="581" customFormat="1" ht="13.5" customHeight="1">
      <c r="A38" s="1532" t="s">
        <v>1611</v>
      </c>
      <c r="B38" s="1532"/>
      <c r="C38" s="1532"/>
      <c r="D38" s="1532"/>
      <c r="E38" s="1532"/>
      <c r="F38" s="1532"/>
      <c r="G38" s="1532"/>
      <c r="L38" s="61"/>
      <c r="M38" s="87"/>
    </row>
    <row r="39" spans="1:15" s="581" customFormat="1" ht="13.5" customHeight="1">
      <c r="A39" s="1532" t="s">
        <v>1612</v>
      </c>
      <c r="B39" s="1532"/>
      <c r="C39" s="1532"/>
      <c r="D39" s="1532"/>
      <c r="E39" s="1532"/>
      <c r="F39" s="1532"/>
      <c r="G39" s="1532"/>
      <c r="L39" s="61"/>
      <c r="M39" s="87"/>
    </row>
    <row r="40" spans="1:15" s="581" customFormat="1" ht="13.5" customHeight="1">
      <c r="A40" s="1532" t="s">
        <v>1613</v>
      </c>
      <c r="B40" s="1532"/>
      <c r="C40" s="1532"/>
      <c r="D40" s="1532"/>
      <c r="E40" s="1532"/>
      <c r="F40" s="1532"/>
      <c r="G40" s="1532"/>
      <c r="L40" s="61"/>
      <c r="M40" s="87"/>
    </row>
    <row r="41" spans="1:15" ht="18" customHeight="1">
      <c r="A41" s="1498"/>
      <c r="B41" s="1404" t="s">
        <v>1614</v>
      </c>
      <c r="C41" s="1404"/>
      <c r="D41" s="1277" t="s">
        <v>1615</v>
      </c>
      <c r="E41" s="1267"/>
      <c r="F41" s="1267"/>
      <c r="G41" s="1268"/>
      <c r="H41" s="1598" t="s">
        <v>1616</v>
      </c>
      <c r="M41" s="87"/>
    </row>
    <row r="42" spans="1:15" ht="27.95" customHeight="1">
      <c r="A42" s="1498"/>
      <c r="B42" s="821" t="s">
        <v>1617</v>
      </c>
      <c r="C42" s="822" t="s">
        <v>1618</v>
      </c>
      <c r="D42" s="1497"/>
      <c r="E42" s="1596"/>
      <c r="F42" s="1596"/>
      <c r="G42" s="1597"/>
      <c r="H42" s="1598"/>
      <c r="M42" s="87"/>
    </row>
    <row r="43" spans="1:15" ht="18" customHeight="1">
      <c r="A43" s="823" t="s">
        <v>1559</v>
      </c>
      <c r="B43" s="824" t="s">
        <v>1619</v>
      </c>
      <c r="C43" s="825" t="s">
        <v>1620</v>
      </c>
      <c r="D43" s="1599" t="s">
        <v>1621</v>
      </c>
      <c r="E43" s="1600"/>
      <c r="F43" s="1600"/>
      <c r="G43" s="1601"/>
      <c r="H43" s="823" t="s">
        <v>1622</v>
      </c>
      <c r="M43" s="87"/>
    </row>
    <row r="44" spans="1:15" ht="27.95" customHeight="1">
      <c r="A44" s="823" t="s">
        <v>1559</v>
      </c>
      <c r="B44" s="824" t="s">
        <v>1619</v>
      </c>
      <c r="C44" s="825" t="s">
        <v>561</v>
      </c>
      <c r="D44" s="1599" t="s">
        <v>1623</v>
      </c>
      <c r="E44" s="1600"/>
      <c r="F44" s="1600"/>
      <c r="G44" s="1601"/>
      <c r="H44" s="823" t="s">
        <v>1622</v>
      </c>
      <c r="M44" s="87"/>
    </row>
    <row r="45" spans="1:15" ht="27.95" customHeight="1" thickBot="1">
      <c r="A45" s="823" t="s">
        <v>1559</v>
      </c>
      <c r="B45" s="1127" t="s">
        <v>1619</v>
      </c>
      <c r="C45" s="826" t="s">
        <v>1624</v>
      </c>
      <c r="D45" s="1602" t="s">
        <v>1625</v>
      </c>
      <c r="E45" s="1603"/>
      <c r="F45" s="1603"/>
      <c r="G45" s="1604"/>
      <c r="H45" s="1128" t="s">
        <v>1626</v>
      </c>
      <c r="M45" s="87"/>
    </row>
    <row r="46" spans="1:15" ht="31.5" customHeight="1" thickBot="1">
      <c r="A46" s="545">
        <v>1</v>
      </c>
      <c r="B46" s="57" t="s">
        <v>2025</v>
      </c>
      <c r="C46" s="57" t="s">
        <v>2026</v>
      </c>
      <c r="D46" s="1223" t="s">
        <v>2027</v>
      </c>
      <c r="E46" s="1300"/>
      <c r="F46" s="1300"/>
      <c r="G46" s="1224"/>
      <c r="H46" s="40" t="s">
        <v>1932</v>
      </c>
      <c r="J46" s="581" t="str">
        <f>IF(AND(E35&gt;0,OR(B46="",C46="",D46="",H46="")),"×","〇")</f>
        <v>〇</v>
      </c>
      <c r="M46" s="87"/>
    </row>
    <row r="47" spans="1:15" ht="31.5" customHeight="1" thickBot="1">
      <c r="A47" s="545">
        <v>2</v>
      </c>
      <c r="B47" s="57" t="s">
        <v>2028</v>
      </c>
      <c r="C47" s="57" t="s">
        <v>1624</v>
      </c>
      <c r="D47" s="1223" t="s">
        <v>2029</v>
      </c>
      <c r="E47" s="1300"/>
      <c r="F47" s="1300"/>
      <c r="G47" s="1224"/>
      <c r="H47" s="40" t="s">
        <v>1932</v>
      </c>
      <c r="J47" s="728"/>
      <c r="M47" s="87"/>
    </row>
    <row r="48" spans="1:15" ht="31.5" customHeight="1" thickBot="1">
      <c r="A48" s="545">
        <v>3</v>
      </c>
      <c r="B48" s="57" t="s">
        <v>2030</v>
      </c>
      <c r="C48" s="57" t="s">
        <v>1624</v>
      </c>
      <c r="D48" s="1223" t="s">
        <v>2027</v>
      </c>
      <c r="E48" s="1300"/>
      <c r="F48" s="1300"/>
      <c r="G48" s="1224"/>
      <c r="H48" s="40" t="s">
        <v>1932</v>
      </c>
      <c r="M48" s="87"/>
    </row>
    <row r="49" spans="1:13" ht="31.5" customHeight="1" thickBot="1">
      <c r="A49" s="545">
        <v>4</v>
      </c>
      <c r="B49" s="57" t="s">
        <v>2031</v>
      </c>
      <c r="C49" s="57" t="s">
        <v>1624</v>
      </c>
      <c r="D49" s="1223" t="s">
        <v>2027</v>
      </c>
      <c r="E49" s="1300"/>
      <c r="F49" s="1300"/>
      <c r="G49" s="1224"/>
      <c r="H49" s="40" t="s">
        <v>1932</v>
      </c>
      <c r="M49" s="87"/>
    </row>
    <row r="50" spans="1:13" ht="31.5" customHeight="1" thickBot="1">
      <c r="A50" s="545">
        <v>5</v>
      </c>
      <c r="B50" s="57" t="s">
        <v>2032</v>
      </c>
      <c r="C50" s="57" t="s">
        <v>1624</v>
      </c>
      <c r="D50" s="1223" t="s">
        <v>2033</v>
      </c>
      <c r="E50" s="1300"/>
      <c r="F50" s="1300"/>
      <c r="G50" s="1224"/>
      <c r="H50" s="40" t="s">
        <v>1932</v>
      </c>
      <c r="M50" s="87"/>
    </row>
    <row r="51" spans="1:13" ht="31.5" customHeight="1" thickBot="1">
      <c r="A51" s="545">
        <v>6</v>
      </c>
      <c r="B51" s="57"/>
      <c r="C51" s="57"/>
      <c r="D51" s="1223"/>
      <c r="E51" s="1300"/>
      <c r="F51" s="1300"/>
      <c r="G51" s="1224"/>
      <c r="H51" s="40"/>
      <c r="M51" s="87"/>
    </row>
    <row r="52" spans="1:13" ht="31.5" customHeight="1" thickBot="1">
      <c r="A52" s="545">
        <v>7</v>
      </c>
      <c r="B52" s="57"/>
      <c r="C52" s="57"/>
      <c r="D52" s="1223"/>
      <c r="E52" s="1300"/>
      <c r="F52" s="1300"/>
      <c r="G52" s="1224"/>
      <c r="H52" s="40"/>
      <c r="M52" s="87"/>
    </row>
    <row r="53" spans="1:13" ht="31.5" customHeight="1" thickBot="1">
      <c r="A53" s="545">
        <v>8</v>
      </c>
      <c r="B53" s="57"/>
      <c r="C53" s="57"/>
      <c r="D53" s="1223"/>
      <c r="E53" s="1300"/>
      <c r="F53" s="1300"/>
      <c r="G53" s="1224"/>
      <c r="H53" s="40"/>
      <c r="M53" s="87"/>
    </row>
    <row r="54" spans="1:13" ht="31.5" customHeight="1" thickBot="1">
      <c r="A54" s="545">
        <v>9</v>
      </c>
      <c r="B54" s="57"/>
      <c r="C54" s="57"/>
      <c r="D54" s="1223"/>
      <c r="E54" s="1300"/>
      <c r="F54" s="1300"/>
      <c r="G54" s="1224"/>
      <c r="H54" s="40"/>
      <c r="M54" s="87"/>
    </row>
    <row r="55" spans="1:13" ht="31.5" customHeight="1" thickBot="1">
      <c r="A55" s="545">
        <v>10</v>
      </c>
      <c r="B55" s="57"/>
      <c r="C55" s="57"/>
      <c r="D55" s="1223"/>
      <c r="E55" s="1300"/>
      <c r="F55" s="1300"/>
      <c r="G55" s="1224"/>
      <c r="H55" s="40"/>
      <c r="M55" s="87"/>
    </row>
    <row r="56" spans="1:13" ht="31.5" customHeight="1" thickBot="1">
      <c r="A56" s="545">
        <v>11</v>
      </c>
      <c r="B56" s="57"/>
      <c r="C56" s="57"/>
      <c r="D56" s="1223"/>
      <c r="E56" s="1300"/>
      <c r="F56" s="1300"/>
      <c r="G56" s="1224"/>
      <c r="H56" s="40"/>
      <c r="M56" s="160"/>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10"/>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zoomScale="90" zoomScaleNormal="100" zoomScaleSheetLayoutView="90" workbookViewId="0">
      <selection activeCell="A47" sqref="A47:W62"/>
    </sheetView>
  </sheetViews>
  <sheetFormatPr defaultColWidth="9" defaultRowHeight="12"/>
  <cols>
    <col min="1" max="1" width="3.625" style="581" customWidth="1"/>
    <col min="2" max="2" width="28.625" style="581" customWidth="1"/>
    <col min="3" max="3" width="10.625" style="581" customWidth="1"/>
    <col min="4" max="4" width="12.625" style="581" customWidth="1"/>
    <col min="5" max="13" width="2.625" style="581" customWidth="1"/>
    <col min="14" max="14" width="1.625" style="581" customWidth="1"/>
    <col min="15" max="22" width="2.625" style="581" customWidth="1"/>
    <col min="23" max="23" width="9.375" style="581" customWidth="1"/>
    <col min="24" max="24" width="15" style="581" customWidth="1"/>
    <col min="25" max="26" width="2.25" style="581" hidden="1" customWidth="1"/>
    <col min="27" max="27" width="82.75" style="120" bestFit="1" customWidth="1"/>
    <col min="28" max="16384" width="9" style="581"/>
  </cols>
  <sheetData>
    <row r="1" spans="1:30" ht="19.5" customHeight="1" thickBot="1">
      <c r="A1" s="1439" t="s">
        <v>1627</v>
      </c>
      <c r="B1" s="1439"/>
      <c r="C1" s="1439"/>
      <c r="D1" s="1439"/>
      <c r="E1" s="1439"/>
      <c r="F1" s="1439"/>
      <c r="G1" s="1439"/>
      <c r="H1" s="1439"/>
      <c r="I1" s="1439"/>
      <c r="J1" s="1439"/>
      <c r="K1" s="1439"/>
      <c r="L1" s="1439"/>
      <c r="M1" s="1439"/>
      <c r="N1" s="1439"/>
      <c r="O1" s="1439"/>
      <c r="P1" s="1439"/>
      <c r="Q1" s="1439"/>
      <c r="R1" s="1439"/>
      <c r="S1" s="1439"/>
      <c r="T1" s="1439"/>
      <c r="U1" s="1439"/>
      <c r="V1" s="1439"/>
      <c r="W1" s="1439"/>
      <c r="Y1" s="64"/>
      <c r="Z1" s="64"/>
    </row>
    <row r="2" spans="1:30" ht="24.95" customHeight="1" thickBot="1">
      <c r="A2" s="1338" t="s">
        <v>1348</v>
      </c>
      <c r="B2" s="1338"/>
      <c r="C2" s="1338"/>
      <c r="D2" s="1338"/>
      <c r="E2" s="1338"/>
      <c r="F2" s="1338"/>
      <c r="G2" s="1338"/>
      <c r="H2" s="1338"/>
      <c r="I2" s="1338"/>
      <c r="J2" s="1338"/>
      <c r="K2" s="1338"/>
      <c r="L2" s="1338"/>
      <c r="M2" s="1338"/>
      <c r="N2" s="1338"/>
      <c r="O2" s="1338"/>
      <c r="P2" s="1338"/>
      <c r="Q2" s="1338"/>
      <c r="R2" s="1338"/>
      <c r="S2" s="1338"/>
      <c r="T2" s="1338"/>
      <c r="U2" s="1338"/>
      <c r="V2" s="1338"/>
      <c r="W2" s="827" t="str">
        <f>IF(COUNTIF(Y15:Y43,"×")&gt;=1,"未入力あり","入力済")</f>
        <v>入力済</v>
      </c>
      <c r="X2" s="1595"/>
      <c r="Y2" s="64"/>
      <c r="Z2" s="64"/>
    </row>
    <row r="3" spans="1:30" ht="5.0999999999999996" customHeight="1">
      <c r="A3" s="577"/>
      <c r="B3" s="577"/>
      <c r="C3" s="577"/>
      <c r="D3" s="577"/>
      <c r="E3" s="577"/>
      <c r="F3" s="577"/>
      <c r="G3" s="577"/>
      <c r="H3" s="577"/>
      <c r="I3" s="577"/>
      <c r="J3" s="577"/>
      <c r="K3" s="577"/>
      <c r="L3" s="577"/>
      <c r="M3" s="577"/>
      <c r="N3" s="577"/>
      <c r="O3" s="577"/>
      <c r="P3" s="577"/>
      <c r="Q3" s="577"/>
      <c r="R3" s="577"/>
      <c r="S3" s="577"/>
      <c r="T3" s="577"/>
      <c r="U3" s="577"/>
      <c r="V3" s="828"/>
      <c r="W3" s="577"/>
      <c r="X3" s="1595"/>
      <c r="Y3" s="9"/>
      <c r="Z3" s="9"/>
    </row>
    <row r="4" spans="1:30" ht="20.25" customHeight="1">
      <c r="A4" s="577"/>
      <c r="B4" s="577"/>
      <c r="C4" s="577"/>
      <c r="D4" s="577"/>
      <c r="E4" s="829" t="s">
        <v>1451</v>
      </c>
      <c r="F4" s="1633" t="str">
        <f>表紙!E2</f>
        <v>市立豊中病院</v>
      </c>
      <c r="G4" s="1634"/>
      <c r="H4" s="1634"/>
      <c r="I4" s="1634"/>
      <c r="J4" s="1634"/>
      <c r="K4" s="1634"/>
      <c r="L4" s="1634"/>
      <c r="M4" s="1634"/>
      <c r="N4" s="1634"/>
      <c r="O4" s="1634"/>
      <c r="P4" s="1634"/>
      <c r="Q4" s="1634"/>
      <c r="R4" s="1634"/>
      <c r="S4" s="1634"/>
      <c r="T4" s="1634"/>
      <c r="U4" s="1634"/>
      <c r="V4" s="1634"/>
      <c r="W4" s="1635"/>
      <c r="X4" s="1595"/>
      <c r="Y4" s="64"/>
      <c r="Z4" s="64"/>
    </row>
    <row r="5" spans="1:30" ht="20.25" customHeight="1">
      <c r="A5" s="577"/>
      <c r="B5" s="61"/>
      <c r="C5" s="61"/>
      <c r="D5" s="61"/>
      <c r="E5" s="767" t="s">
        <v>1223</v>
      </c>
      <c r="F5" s="59" t="str">
        <f>+'事務局使用（発出時は非表示にすること）'!B3</f>
        <v>令和６年９月１日時点</v>
      </c>
      <c r="G5" s="767"/>
      <c r="H5" s="767"/>
      <c r="I5" s="767"/>
      <c r="J5" s="767"/>
      <c r="K5" s="767"/>
      <c r="L5" s="767"/>
      <c r="M5" s="61"/>
      <c r="N5" s="698"/>
      <c r="O5" s="698"/>
      <c r="P5" s="698"/>
      <c r="Q5" s="698"/>
      <c r="R5" s="698"/>
      <c r="S5" s="698"/>
      <c r="T5" s="698"/>
      <c r="U5" s="698"/>
      <c r="V5" s="698"/>
      <c r="W5" s="698"/>
      <c r="X5" s="1595"/>
      <c r="Y5" s="583"/>
      <c r="Z5" s="583"/>
      <c r="AA5" s="188" t="s">
        <v>268</v>
      </c>
    </row>
    <row r="6" spans="1:30" s="793" customFormat="1" ht="42" customHeight="1">
      <c r="A6" s="830"/>
      <c r="B6" s="1631" t="s">
        <v>1628</v>
      </c>
      <c r="C6" s="1632"/>
      <c r="D6" s="1632"/>
      <c r="E6" s="1632"/>
      <c r="F6" s="1632"/>
      <c r="G6" s="1632"/>
      <c r="H6" s="1632"/>
      <c r="I6" s="1632"/>
      <c r="J6" s="1632"/>
      <c r="K6" s="1632"/>
      <c r="L6" s="1632"/>
      <c r="M6" s="1632"/>
      <c r="N6" s="1632"/>
      <c r="O6" s="1632"/>
      <c r="P6" s="1632"/>
      <c r="Q6" s="1632"/>
      <c r="R6" s="1632"/>
      <c r="S6" s="1632"/>
      <c r="T6" s="1632"/>
      <c r="U6" s="1632"/>
      <c r="V6" s="1632"/>
      <c r="W6" s="1632"/>
      <c r="AA6" s="87"/>
      <c r="AC6" s="830"/>
      <c r="AD6" s="831"/>
    </row>
    <row r="7" spans="1:30" s="793" customFormat="1" ht="20.100000000000001" customHeight="1">
      <c r="A7" s="830"/>
      <c r="B7" s="1038" t="s">
        <v>1629</v>
      </c>
      <c r="C7" s="1039" t="s">
        <v>1630</v>
      </c>
      <c r="D7" s="1039" t="s">
        <v>1631</v>
      </c>
      <c r="E7" s="1629" t="s">
        <v>1632</v>
      </c>
      <c r="F7" s="1629"/>
      <c r="G7" s="1629"/>
      <c r="H7" s="1629"/>
      <c r="I7" s="1629"/>
      <c r="J7" s="1629"/>
      <c r="K7" s="1629"/>
      <c r="L7" s="1629"/>
      <c r="M7" s="1629"/>
      <c r="N7" s="1629" t="s">
        <v>1633</v>
      </c>
      <c r="O7" s="1629"/>
      <c r="P7" s="1629"/>
      <c r="Q7" s="1629"/>
      <c r="R7" s="1629"/>
      <c r="S7" s="1629"/>
      <c r="T7" s="1629"/>
      <c r="U7" s="1629"/>
      <c r="V7" s="1629"/>
      <c r="W7" s="832"/>
      <c r="X7" s="832"/>
      <c r="Y7" s="832"/>
      <c r="Z7" s="832"/>
      <c r="AA7" s="87"/>
      <c r="AB7" s="832"/>
      <c r="AC7" s="832"/>
      <c r="AD7" s="831"/>
    </row>
    <row r="8" spans="1:30" s="793" customFormat="1" ht="99.95" customHeight="1">
      <c r="A8" s="830"/>
      <c r="B8" s="1040" t="s">
        <v>1634</v>
      </c>
      <c r="C8" s="1041" t="s">
        <v>1635</v>
      </c>
      <c r="D8" s="1041" t="s">
        <v>1636</v>
      </c>
      <c r="E8" s="1636" t="s">
        <v>1637</v>
      </c>
      <c r="F8" s="1637"/>
      <c r="G8" s="1637"/>
      <c r="H8" s="1637"/>
      <c r="I8" s="1637"/>
      <c r="J8" s="1637"/>
      <c r="K8" s="1637"/>
      <c r="L8" s="1637"/>
      <c r="M8" s="1638"/>
      <c r="N8" s="1616" t="s">
        <v>1638</v>
      </c>
      <c r="O8" s="1616"/>
      <c r="P8" s="1616"/>
      <c r="Q8" s="1616"/>
      <c r="R8" s="1616"/>
      <c r="S8" s="1616"/>
      <c r="T8" s="1616"/>
      <c r="U8" s="1616"/>
      <c r="V8" s="1616"/>
      <c r="W8" s="832"/>
      <c r="X8" s="832"/>
      <c r="Y8" s="832"/>
      <c r="Z8" s="832"/>
      <c r="AA8" s="87"/>
      <c r="AB8" s="832"/>
      <c r="AC8" s="832"/>
      <c r="AD8" s="831"/>
    </row>
    <row r="9" spans="1:30" s="793" customFormat="1" ht="50.1" customHeight="1">
      <c r="A9" s="830"/>
      <c r="B9" s="1038" t="s">
        <v>1639</v>
      </c>
      <c r="C9" s="1042" t="s">
        <v>1640</v>
      </c>
      <c r="D9" s="1038" t="s">
        <v>1641</v>
      </c>
      <c r="E9" s="1629" t="s">
        <v>1642</v>
      </c>
      <c r="F9" s="1629"/>
      <c r="G9" s="1629"/>
      <c r="H9" s="1629"/>
      <c r="I9" s="1629"/>
      <c r="J9" s="1629"/>
      <c r="K9" s="1629"/>
      <c r="L9" s="1629"/>
      <c r="M9" s="1629"/>
      <c r="N9" s="1629" t="s">
        <v>1643</v>
      </c>
      <c r="O9" s="1629"/>
      <c r="P9" s="1629"/>
      <c r="Q9" s="1629"/>
      <c r="R9" s="1629"/>
      <c r="S9" s="1629"/>
      <c r="T9" s="1629"/>
      <c r="U9" s="1629"/>
      <c r="V9" s="1629"/>
      <c r="W9" s="832"/>
      <c r="X9" s="832"/>
      <c r="Y9" s="832"/>
      <c r="Z9" s="832"/>
      <c r="AA9" s="87"/>
      <c r="AB9" s="832"/>
      <c r="AC9" s="832"/>
      <c r="AD9" s="831"/>
    </row>
    <row r="10" spans="1:30" s="793" customFormat="1" ht="50.1" customHeight="1">
      <c r="A10" s="830"/>
      <c r="B10" s="1616" t="s">
        <v>1644</v>
      </c>
      <c r="C10" s="1613" t="s">
        <v>1645</v>
      </c>
      <c r="D10" s="1613" t="s">
        <v>1646</v>
      </c>
      <c r="E10" s="1616" t="s">
        <v>1647</v>
      </c>
      <c r="F10" s="1616"/>
      <c r="G10" s="1616"/>
      <c r="H10" s="1616"/>
      <c r="I10" s="1616"/>
      <c r="J10" s="1616"/>
      <c r="K10" s="1616"/>
      <c r="L10" s="1616"/>
      <c r="M10" s="1618"/>
      <c r="N10" s="1616" t="s">
        <v>1648</v>
      </c>
      <c r="O10" s="1616"/>
      <c r="P10" s="1616"/>
      <c r="Q10" s="1616"/>
      <c r="R10" s="1616"/>
      <c r="S10" s="1616"/>
      <c r="T10" s="1616"/>
      <c r="U10" s="1616"/>
      <c r="V10" s="1616"/>
      <c r="W10" s="832"/>
      <c r="X10" s="832"/>
      <c r="Y10" s="832"/>
      <c r="Z10" s="832"/>
      <c r="AA10" s="87"/>
      <c r="AB10" s="832"/>
      <c r="AC10" s="832"/>
      <c r="AD10" s="831"/>
    </row>
    <row r="11" spans="1:30" s="793" customFormat="1" ht="20.100000000000001" customHeight="1">
      <c r="A11" s="830"/>
      <c r="B11" s="1616"/>
      <c r="C11" s="1614"/>
      <c r="D11" s="1614"/>
      <c r="E11" s="1629" t="s">
        <v>1649</v>
      </c>
      <c r="F11" s="1629"/>
      <c r="G11" s="1629"/>
      <c r="H11" s="1629"/>
      <c r="I11" s="1629"/>
      <c r="J11" s="1629"/>
      <c r="K11" s="1629"/>
      <c r="L11" s="1629"/>
      <c r="M11" s="1629"/>
      <c r="N11" s="1616"/>
      <c r="O11" s="1616"/>
      <c r="P11" s="1616"/>
      <c r="Q11" s="1616"/>
      <c r="R11" s="1616"/>
      <c r="S11" s="1616"/>
      <c r="T11" s="1616"/>
      <c r="U11" s="1616"/>
      <c r="V11" s="1616"/>
      <c r="W11" s="832"/>
      <c r="X11" s="832"/>
      <c r="Y11" s="832"/>
      <c r="Z11" s="832"/>
      <c r="AA11" s="87"/>
      <c r="AB11" s="832"/>
      <c r="AC11" s="832"/>
      <c r="AD11" s="831"/>
    </row>
    <row r="12" spans="1:30" s="793" customFormat="1" ht="50.1" customHeight="1">
      <c r="A12" s="830"/>
      <c r="B12" s="1616"/>
      <c r="C12" s="1615"/>
      <c r="D12" s="1615"/>
      <c r="E12" s="1618" t="s">
        <v>1650</v>
      </c>
      <c r="F12" s="1618"/>
      <c r="G12" s="1618"/>
      <c r="H12" s="1618"/>
      <c r="I12" s="1618"/>
      <c r="J12" s="1618"/>
      <c r="K12" s="1618"/>
      <c r="L12" s="1618"/>
      <c r="M12" s="1618"/>
      <c r="N12" s="1616"/>
      <c r="O12" s="1616"/>
      <c r="P12" s="1616"/>
      <c r="Q12" s="1616"/>
      <c r="R12" s="1616"/>
      <c r="S12" s="1616"/>
      <c r="T12" s="1616"/>
      <c r="U12" s="1616"/>
      <c r="V12" s="1616"/>
      <c r="W12" s="832"/>
      <c r="X12" s="832"/>
      <c r="Y12" s="832"/>
      <c r="Z12" s="832"/>
      <c r="AA12" s="87"/>
      <c r="AB12" s="832"/>
      <c r="AC12" s="832"/>
      <c r="AD12" s="831"/>
    </row>
    <row r="13" spans="1:30" ht="10.5" customHeight="1">
      <c r="A13" s="577"/>
      <c r="B13" s="577"/>
      <c r="C13" s="577"/>
      <c r="D13" s="577"/>
      <c r="E13" s="577"/>
      <c r="F13" s="577"/>
      <c r="G13" s="577"/>
      <c r="H13" s="577"/>
      <c r="I13" s="577"/>
      <c r="J13" s="577"/>
      <c r="K13" s="577"/>
      <c r="L13" s="577"/>
      <c r="M13" s="577"/>
      <c r="N13" s="577"/>
      <c r="O13" s="577"/>
      <c r="P13" s="577"/>
      <c r="Q13" s="577"/>
      <c r="R13" s="577"/>
      <c r="S13" s="577"/>
      <c r="T13" s="577"/>
      <c r="U13" s="577"/>
      <c r="V13" s="577"/>
      <c r="W13" s="577"/>
      <c r="AA13" s="87"/>
    </row>
    <row r="14" spans="1:30" ht="20.25" customHeight="1" thickBot="1">
      <c r="A14" s="833" t="s">
        <v>1651</v>
      </c>
      <c r="B14" s="1617" t="s">
        <v>1652</v>
      </c>
      <c r="C14" s="1617"/>
      <c r="D14" s="1617"/>
      <c r="E14" s="1617"/>
      <c r="F14" s="1617"/>
      <c r="G14" s="1617"/>
      <c r="H14" s="1617"/>
      <c r="I14" s="1617"/>
      <c r="J14" s="1617"/>
      <c r="K14" s="1617"/>
      <c r="L14" s="1617"/>
      <c r="M14" s="1617"/>
      <c r="N14" s="1617"/>
      <c r="O14" s="1617"/>
      <c r="P14" s="1617"/>
      <c r="Q14" s="1617"/>
      <c r="R14" s="1617"/>
      <c r="S14" s="1617"/>
      <c r="T14" s="1617"/>
      <c r="U14" s="1617"/>
      <c r="V14" s="1617"/>
      <c r="W14" s="1617"/>
      <c r="AA14" s="87"/>
    </row>
    <row r="15" spans="1:30" ht="25.5" customHeight="1" thickBot="1">
      <c r="A15" s="834">
        <v>1</v>
      </c>
      <c r="B15" s="835" t="s">
        <v>1653</v>
      </c>
      <c r="C15" s="836"/>
      <c r="D15" s="837"/>
      <c r="E15" s="837"/>
      <c r="F15" s="837"/>
      <c r="G15" s="837"/>
      <c r="H15" s="837"/>
      <c r="I15" s="837"/>
      <c r="J15" s="837"/>
      <c r="K15" s="837"/>
      <c r="L15" s="837"/>
      <c r="M15" s="837"/>
      <c r="N15" s="837"/>
      <c r="O15" s="837"/>
      <c r="P15" s="837"/>
      <c r="Q15" s="837"/>
      <c r="R15" s="837"/>
      <c r="S15" s="837"/>
      <c r="T15" s="837"/>
      <c r="U15" s="837"/>
      <c r="V15" s="837"/>
      <c r="W15" s="40" t="s">
        <v>1936</v>
      </c>
      <c r="Y15" s="581" t="str">
        <f>IF(W15="","×","○")</f>
        <v>○</v>
      </c>
      <c r="AA15" s="87"/>
    </row>
    <row r="16" spans="1:30" ht="25.5" customHeight="1" thickBot="1">
      <c r="A16" s="838">
        <v>2</v>
      </c>
      <c r="B16" s="1342" t="s">
        <v>1654</v>
      </c>
      <c r="C16" s="1343"/>
      <c r="D16" s="1370" t="s">
        <v>2034</v>
      </c>
      <c r="E16" s="1371"/>
      <c r="F16" s="1371"/>
      <c r="G16" s="1371"/>
      <c r="H16" s="1371"/>
      <c r="I16" s="1371"/>
      <c r="J16" s="1371"/>
      <c r="K16" s="1371"/>
      <c r="L16" s="1371"/>
      <c r="M16" s="1371"/>
      <c r="N16" s="1371"/>
      <c r="O16" s="1371"/>
      <c r="P16" s="1371"/>
      <c r="Q16" s="1371"/>
      <c r="R16" s="1371"/>
      <c r="S16" s="1371"/>
      <c r="T16" s="1371"/>
      <c r="U16" s="1371"/>
      <c r="V16" s="1371"/>
      <c r="W16" s="1375"/>
      <c r="Y16" s="583" t="str">
        <f>IF(AND($W$15="はい",D16=""),"×","○")</f>
        <v>○</v>
      </c>
      <c r="Z16" s="583"/>
      <c r="AA16" s="87"/>
    </row>
    <row r="17" spans="1:27" ht="25.5" customHeight="1" thickBot="1">
      <c r="A17" s="838">
        <v>3</v>
      </c>
      <c r="B17" s="1332" t="s">
        <v>1655</v>
      </c>
      <c r="C17" s="1648"/>
      <c r="D17" s="1649"/>
      <c r="E17" s="1649"/>
      <c r="F17" s="1649"/>
      <c r="G17" s="1649"/>
      <c r="H17" s="1649"/>
      <c r="I17" s="1649"/>
      <c r="J17" s="1649"/>
      <c r="K17" s="1649"/>
      <c r="L17" s="1649"/>
      <c r="M17" s="1649"/>
      <c r="N17" s="1430" t="s">
        <v>2036</v>
      </c>
      <c r="O17" s="1431"/>
      <c r="P17" s="1431"/>
      <c r="Q17" s="1431"/>
      <c r="R17" s="1431"/>
      <c r="S17" s="1431"/>
      <c r="T17" s="1431"/>
      <c r="U17" s="1431"/>
      <c r="V17" s="1619"/>
      <c r="W17" s="1620"/>
      <c r="Y17" s="583" t="str">
        <f>IF(AND($W$15="はい",N17=""),"×","○")</f>
        <v>○</v>
      </c>
      <c r="Z17" s="583"/>
      <c r="AA17" s="87" t="s">
        <v>2037</v>
      </c>
    </row>
    <row r="18" spans="1:27" ht="50.1" customHeight="1" thickBot="1">
      <c r="A18" s="838">
        <v>4</v>
      </c>
      <c r="B18" s="1342" t="s">
        <v>1656</v>
      </c>
      <c r="C18" s="1343"/>
      <c r="D18" s="1223" t="s">
        <v>2035</v>
      </c>
      <c r="E18" s="1300"/>
      <c r="F18" s="1300"/>
      <c r="G18" s="1300"/>
      <c r="H18" s="1300"/>
      <c r="I18" s="1300"/>
      <c r="J18" s="1300"/>
      <c r="K18" s="1300"/>
      <c r="L18" s="1300"/>
      <c r="M18" s="1300"/>
      <c r="N18" s="1300"/>
      <c r="O18" s="1300"/>
      <c r="P18" s="1300"/>
      <c r="Q18" s="1300"/>
      <c r="R18" s="1300"/>
      <c r="S18" s="1300"/>
      <c r="T18" s="1300"/>
      <c r="U18" s="1300"/>
      <c r="V18" s="1300"/>
      <c r="W18" s="1224"/>
      <c r="Y18" s="583" t="str">
        <f>IF(AND($W$15="はい",D18=""),"×","○")</f>
        <v>○</v>
      </c>
      <c r="Z18" s="583"/>
      <c r="AA18" s="87"/>
    </row>
    <row r="19" spans="1:27" ht="25.5" customHeight="1" thickBot="1">
      <c r="A19" s="839">
        <v>5</v>
      </c>
      <c r="B19" s="1630" t="s">
        <v>1657</v>
      </c>
      <c r="C19" s="1625"/>
      <c r="D19" s="1626"/>
      <c r="E19" s="1626"/>
      <c r="F19" s="1626"/>
      <c r="G19" s="1626"/>
      <c r="H19" s="1626"/>
      <c r="I19" s="1626"/>
      <c r="J19" s="1626"/>
      <c r="K19" s="1626"/>
      <c r="L19" s="1626"/>
      <c r="M19" s="1626"/>
      <c r="N19" s="1626"/>
      <c r="O19" s="1626"/>
      <c r="P19" s="1626"/>
      <c r="Q19" s="1626"/>
      <c r="R19" s="1626"/>
      <c r="S19" s="1626"/>
      <c r="T19" s="1626"/>
      <c r="U19" s="1626"/>
      <c r="V19" s="1626"/>
      <c r="W19" s="40" t="s">
        <v>1936</v>
      </c>
      <c r="Y19" s="583" t="str">
        <f>IF(AND($W$15="はい",W19=""),"×","○")</f>
        <v>○</v>
      </c>
      <c r="Z19" s="583"/>
      <c r="AA19" s="87"/>
    </row>
    <row r="20" spans="1:27" ht="20.25" customHeight="1">
      <c r="A20" s="577"/>
      <c r="B20" s="577"/>
      <c r="C20" s="577"/>
      <c r="D20" s="577"/>
      <c r="E20" s="577"/>
      <c r="F20" s="577"/>
      <c r="G20" s="577"/>
      <c r="H20" s="577"/>
      <c r="I20" s="577"/>
      <c r="J20" s="577"/>
      <c r="K20" s="577"/>
      <c r="L20" s="577"/>
      <c r="M20" s="577"/>
      <c r="N20" s="577"/>
      <c r="O20" s="577"/>
      <c r="P20" s="577"/>
      <c r="Q20" s="577"/>
      <c r="R20" s="577"/>
      <c r="S20" s="577"/>
      <c r="T20" s="577"/>
      <c r="U20" s="577"/>
      <c r="V20" s="577"/>
      <c r="W20" s="577"/>
      <c r="AA20" s="87"/>
    </row>
    <row r="21" spans="1:27" ht="25.5" customHeight="1" thickBot="1">
      <c r="A21" s="840" t="s">
        <v>1658</v>
      </c>
      <c r="B21" s="841" t="s">
        <v>1659</v>
      </c>
      <c r="C21" s="841"/>
      <c r="D21" s="841"/>
      <c r="E21" s="841"/>
      <c r="F21" s="841"/>
      <c r="G21" s="841"/>
      <c r="H21" s="841"/>
      <c r="I21" s="841"/>
      <c r="J21" s="841"/>
      <c r="K21" s="841"/>
      <c r="L21" s="841"/>
      <c r="M21" s="841"/>
      <c r="N21" s="841"/>
      <c r="O21" s="841"/>
      <c r="P21" s="841"/>
      <c r="Q21" s="841"/>
      <c r="R21" s="841"/>
      <c r="S21" s="841"/>
      <c r="T21" s="841"/>
      <c r="U21" s="841"/>
      <c r="V21" s="841"/>
      <c r="W21" s="841"/>
      <c r="AA21" s="87"/>
    </row>
    <row r="22" spans="1:27" ht="33" customHeight="1" thickBot="1">
      <c r="A22" s="834">
        <v>1</v>
      </c>
      <c r="B22" s="1650" t="s">
        <v>1660</v>
      </c>
      <c r="C22" s="1651"/>
      <c r="D22" s="40" t="s">
        <v>1936</v>
      </c>
      <c r="E22" s="842" t="s">
        <v>1661</v>
      </c>
      <c r="F22" s="842"/>
      <c r="G22" s="842"/>
      <c r="H22" s="842"/>
      <c r="I22" s="842"/>
      <c r="J22" s="843"/>
      <c r="K22" s="1653" t="s">
        <v>1662</v>
      </c>
      <c r="L22" s="1653"/>
      <c r="M22" s="1653"/>
      <c r="N22" s="1653"/>
      <c r="O22" s="1653"/>
      <c r="P22" s="1653"/>
      <c r="Q22" s="1653"/>
      <c r="R22" s="1653"/>
      <c r="S22" s="1653"/>
      <c r="T22" s="1653"/>
      <c r="U22" s="1653"/>
      <c r="V22" s="1653"/>
      <c r="W22" s="1654"/>
      <c r="Y22" s="581" t="str">
        <f>IF(D22="","×","○")</f>
        <v>○</v>
      </c>
      <c r="AA22" s="87"/>
    </row>
    <row r="23" spans="1:27" ht="28.5" customHeight="1" thickBot="1">
      <c r="A23" s="838">
        <v>2</v>
      </c>
      <c r="B23" s="1336" t="s">
        <v>1663</v>
      </c>
      <c r="C23" s="1652"/>
      <c r="D23" s="42" t="s">
        <v>1936</v>
      </c>
      <c r="E23" s="600" t="s">
        <v>1661</v>
      </c>
      <c r="F23" s="600"/>
      <c r="G23" s="600"/>
      <c r="H23" s="600"/>
      <c r="I23" s="600"/>
      <c r="J23" s="844"/>
      <c r="K23" s="1655"/>
      <c r="L23" s="1655"/>
      <c r="M23" s="1655"/>
      <c r="N23" s="1655"/>
      <c r="O23" s="1655"/>
      <c r="P23" s="1655"/>
      <c r="Q23" s="1655"/>
      <c r="R23" s="1655"/>
      <c r="S23" s="1655"/>
      <c r="T23" s="1655"/>
      <c r="U23" s="1655"/>
      <c r="V23" s="1655"/>
      <c r="W23" s="1656"/>
      <c r="Y23" s="583" t="str">
        <f>IF(AND($D$22="はい",D23=""),"×","○")</f>
        <v>○</v>
      </c>
      <c r="Z23" s="583"/>
      <c r="AA23" s="87"/>
    </row>
    <row r="24" spans="1:27" ht="25.5" customHeight="1" thickBot="1">
      <c r="A24" s="838">
        <v>3</v>
      </c>
      <c r="B24" s="1342" t="s">
        <v>1654</v>
      </c>
      <c r="C24" s="1343"/>
      <c r="D24" s="1370" t="s">
        <v>2038</v>
      </c>
      <c r="E24" s="1371"/>
      <c r="F24" s="1371"/>
      <c r="G24" s="1371"/>
      <c r="H24" s="1371"/>
      <c r="I24" s="1371"/>
      <c r="J24" s="1371"/>
      <c r="K24" s="1371"/>
      <c r="L24" s="1371"/>
      <c r="M24" s="1371"/>
      <c r="N24" s="1371"/>
      <c r="O24" s="1371"/>
      <c r="P24" s="1371"/>
      <c r="Q24" s="1371"/>
      <c r="R24" s="1371"/>
      <c r="S24" s="1371"/>
      <c r="T24" s="1371"/>
      <c r="U24" s="1371"/>
      <c r="V24" s="1371"/>
      <c r="W24" s="1375"/>
      <c r="Y24" s="583" t="str">
        <f>IF(AND($D$22="はい",D24=""),"×","○")</f>
        <v>○</v>
      </c>
      <c r="Z24" s="583"/>
      <c r="AA24" s="87"/>
    </row>
    <row r="25" spans="1:27" ht="25.5" customHeight="1" thickBot="1">
      <c r="A25" s="838">
        <v>4</v>
      </c>
      <c r="B25" s="1342" t="s">
        <v>1664</v>
      </c>
      <c r="C25" s="1343"/>
      <c r="D25" s="1223" t="s">
        <v>2039</v>
      </c>
      <c r="E25" s="1300"/>
      <c r="F25" s="1300"/>
      <c r="G25" s="1300"/>
      <c r="H25" s="1300"/>
      <c r="I25" s="1300"/>
      <c r="J25" s="1300"/>
      <c r="K25" s="1300"/>
      <c r="L25" s="1300"/>
      <c r="M25" s="1300"/>
      <c r="N25" s="1300"/>
      <c r="O25" s="1300"/>
      <c r="P25" s="1300"/>
      <c r="Q25" s="1300"/>
      <c r="R25" s="1300"/>
      <c r="S25" s="1300"/>
      <c r="T25" s="1300"/>
      <c r="U25" s="1300"/>
      <c r="V25" s="1300"/>
      <c r="W25" s="1224"/>
      <c r="Y25" s="583" t="str">
        <f>IF(AND($D$22="はい",D25=""),"×","○")</f>
        <v>○</v>
      </c>
      <c r="Z25" s="583"/>
      <c r="AA25" s="87"/>
    </row>
    <row r="26" spans="1:27" ht="25.5" customHeight="1" thickBot="1">
      <c r="A26" s="838">
        <v>5</v>
      </c>
      <c r="B26" s="1336" t="s">
        <v>1665</v>
      </c>
      <c r="C26" s="1337"/>
      <c r="D26" s="1223" t="s">
        <v>2040</v>
      </c>
      <c r="E26" s="1300"/>
      <c r="F26" s="1300"/>
      <c r="G26" s="1300"/>
      <c r="H26" s="1300"/>
      <c r="I26" s="1300"/>
      <c r="J26" s="1300"/>
      <c r="K26" s="1300"/>
      <c r="L26" s="1300"/>
      <c r="M26" s="1300"/>
      <c r="N26" s="1300"/>
      <c r="O26" s="1300"/>
      <c r="P26" s="1300"/>
      <c r="Q26" s="1300"/>
      <c r="R26" s="1300"/>
      <c r="S26" s="1300"/>
      <c r="T26" s="1300"/>
      <c r="U26" s="1300"/>
      <c r="V26" s="1300"/>
      <c r="W26" s="1224"/>
      <c r="Y26" s="583" t="str">
        <f>IF(AND($D$22="はい",D26=""),"×","○")</f>
        <v>○</v>
      </c>
      <c r="Z26" s="583"/>
      <c r="AA26" s="87"/>
    </row>
    <row r="27" spans="1:27" ht="42.6" customHeight="1" thickBot="1">
      <c r="A27" s="838">
        <v>6</v>
      </c>
      <c r="B27" s="1627" t="s">
        <v>1666</v>
      </c>
      <c r="C27" s="1628"/>
      <c r="D27" s="44" t="s">
        <v>2041</v>
      </c>
      <c r="E27" s="845" t="s">
        <v>1667</v>
      </c>
      <c r="F27" s="846"/>
      <c r="G27" s="846"/>
      <c r="H27" s="846"/>
      <c r="I27" s="846"/>
      <c r="J27" s="846"/>
      <c r="K27" s="846"/>
      <c r="L27" s="846"/>
      <c r="M27" s="846"/>
      <c r="N27" s="846"/>
      <c r="O27" s="846"/>
      <c r="P27" s="846"/>
      <c r="Q27" s="846"/>
      <c r="R27" s="846"/>
      <c r="S27" s="846"/>
      <c r="T27" s="846"/>
      <c r="U27" s="846"/>
      <c r="V27" s="846"/>
      <c r="W27" s="847"/>
      <c r="Y27" s="583" t="str">
        <f>IF(AND($D$22="はい",D27=""),"×","○")</f>
        <v>○</v>
      </c>
      <c r="Z27" s="583"/>
      <c r="AA27" s="87"/>
    </row>
    <row r="28" spans="1:27" ht="24.95" customHeight="1" thickBot="1">
      <c r="A28" s="839">
        <v>7</v>
      </c>
      <c r="B28" s="1624" t="s">
        <v>1668</v>
      </c>
      <c r="C28" s="1625"/>
      <c r="D28" s="1626"/>
      <c r="E28" s="1626"/>
      <c r="F28" s="1626"/>
      <c r="G28" s="1626"/>
      <c r="H28" s="1626"/>
      <c r="I28" s="1626"/>
      <c r="J28" s="1626"/>
      <c r="K28" s="1626"/>
      <c r="L28" s="1626"/>
      <c r="M28" s="1626"/>
      <c r="N28" s="1626"/>
      <c r="O28" s="1626"/>
      <c r="P28" s="1626"/>
      <c r="Q28" s="1626"/>
      <c r="R28" s="1626"/>
      <c r="S28" s="1626"/>
      <c r="T28" s="1626"/>
      <c r="U28" s="1626"/>
      <c r="V28" s="1626"/>
      <c r="W28" s="40" t="s">
        <v>1936</v>
      </c>
      <c r="Y28" s="583" t="str">
        <f>IF(AND($D$22="はい",W28=""),"×","○")</f>
        <v>○</v>
      </c>
      <c r="Z28" s="583"/>
      <c r="AA28" s="87"/>
    </row>
    <row r="29" spans="1:27" ht="20.25" customHeight="1">
      <c r="A29" s="577"/>
      <c r="B29" s="577"/>
      <c r="C29" s="577"/>
      <c r="D29" s="577"/>
      <c r="E29" s="577"/>
      <c r="F29" s="577"/>
      <c r="G29" s="577"/>
      <c r="H29" s="577"/>
      <c r="I29" s="577"/>
      <c r="J29" s="577"/>
      <c r="K29" s="577"/>
      <c r="L29" s="577"/>
      <c r="M29" s="577"/>
      <c r="N29" s="577"/>
      <c r="O29" s="577"/>
      <c r="P29" s="577"/>
      <c r="Q29" s="577"/>
      <c r="R29" s="577"/>
      <c r="S29" s="577"/>
      <c r="T29" s="577"/>
      <c r="U29" s="577"/>
      <c r="V29" s="577"/>
      <c r="W29" s="577"/>
      <c r="AA29" s="87"/>
    </row>
    <row r="30" spans="1:27" ht="25.5" customHeight="1" thickBot="1">
      <c r="A30" s="840" t="s">
        <v>1669</v>
      </c>
      <c r="B30" s="841" t="s">
        <v>1670</v>
      </c>
      <c r="C30" s="848"/>
      <c r="D30" s="848"/>
      <c r="E30" s="848"/>
      <c r="F30" s="848"/>
      <c r="G30" s="848"/>
      <c r="H30" s="848"/>
      <c r="I30" s="848"/>
      <c r="J30" s="848"/>
      <c r="K30" s="848"/>
      <c r="L30" s="848"/>
      <c r="M30" s="848"/>
      <c r="N30" s="848"/>
      <c r="O30" s="848"/>
      <c r="P30" s="848"/>
      <c r="Q30" s="848"/>
      <c r="R30" s="848"/>
      <c r="S30" s="848"/>
      <c r="T30" s="848"/>
      <c r="U30" s="848"/>
      <c r="V30" s="848"/>
      <c r="W30" s="848"/>
      <c r="AA30" s="87"/>
    </row>
    <row r="31" spans="1:27" ht="24" customHeight="1" thickBot="1">
      <c r="A31" s="834">
        <v>1</v>
      </c>
      <c r="B31" s="1621" t="s">
        <v>1671</v>
      </c>
      <c r="C31" s="1622"/>
      <c r="D31" s="1623"/>
      <c r="E31" s="1623"/>
      <c r="F31" s="1623"/>
      <c r="G31" s="1623"/>
      <c r="H31" s="1623"/>
      <c r="I31" s="1623"/>
      <c r="J31" s="1623"/>
      <c r="K31" s="1623"/>
      <c r="L31" s="1623"/>
      <c r="M31" s="1623"/>
      <c r="N31" s="1623"/>
      <c r="O31" s="1623"/>
      <c r="P31" s="1623"/>
      <c r="Q31" s="1623"/>
      <c r="R31" s="1623"/>
      <c r="S31" s="1623"/>
      <c r="T31" s="1623"/>
      <c r="U31" s="1623"/>
      <c r="V31" s="1623"/>
      <c r="W31" s="40" t="s">
        <v>1934</v>
      </c>
      <c r="Y31" s="581" t="str">
        <f>IF(W31="","×","○")</f>
        <v>○</v>
      </c>
      <c r="AA31" s="87"/>
    </row>
    <row r="32" spans="1:27" ht="24" customHeight="1" thickBot="1">
      <c r="A32" s="838">
        <v>2</v>
      </c>
      <c r="B32" s="1342" t="s">
        <v>1654</v>
      </c>
      <c r="C32" s="1343"/>
      <c r="D32" s="1370"/>
      <c r="E32" s="1371"/>
      <c r="F32" s="1371"/>
      <c r="G32" s="1371"/>
      <c r="H32" s="1371"/>
      <c r="I32" s="1371"/>
      <c r="J32" s="1371"/>
      <c r="K32" s="1371"/>
      <c r="L32" s="1371"/>
      <c r="M32" s="1371"/>
      <c r="N32" s="1371"/>
      <c r="O32" s="1371"/>
      <c r="P32" s="1371"/>
      <c r="Q32" s="1371"/>
      <c r="R32" s="1371"/>
      <c r="S32" s="1371"/>
      <c r="T32" s="1371"/>
      <c r="U32" s="1371"/>
      <c r="V32" s="1371"/>
      <c r="W32" s="1375"/>
      <c r="Y32" s="583" t="str">
        <f>IF(AND($W$31="はい",D32=""),"×","○")</f>
        <v>○</v>
      </c>
      <c r="Z32" s="583"/>
      <c r="AA32" s="87"/>
    </row>
    <row r="33" spans="1:27" ht="25.5" customHeight="1" thickBot="1">
      <c r="A33" s="839">
        <v>3</v>
      </c>
      <c r="B33" s="1624" t="s">
        <v>1668</v>
      </c>
      <c r="C33" s="1625"/>
      <c r="D33" s="1626"/>
      <c r="E33" s="1626"/>
      <c r="F33" s="1626"/>
      <c r="G33" s="1626"/>
      <c r="H33" s="1626"/>
      <c r="I33" s="1626"/>
      <c r="J33" s="1626"/>
      <c r="K33" s="1626"/>
      <c r="L33" s="1626"/>
      <c r="M33" s="1626"/>
      <c r="N33" s="1626"/>
      <c r="O33" s="1626"/>
      <c r="P33" s="1626"/>
      <c r="Q33" s="1626"/>
      <c r="R33" s="1626"/>
      <c r="S33" s="1626"/>
      <c r="T33" s="1626"/>
      <c r="U33" s="1626"/>
      <c r="V33" s="1626"/>
      <c r="W33" s="40"/>
      <c r="Y33" s="583" t="str">
        <f>IF(AND($W$31="はい",W33=""),"×","○")</f>
        <v>○</v>
      </c>
      <c r="Z33" s="583"/>
      <c r="AA33" s="87"/>
    </row>
    <row r="34" spans="1:27" ht="20.25" customHeight="1">
      <c r="A34" s="577"/>
      <c r="B34" s="577"/>
      <c r="C34" s="577"/>
      <c r="D34" s="577"/>
      <c r="E34" s="577"/>
      <c r="F34" s="577"/>
      <c r="G34" s="577"/>
      <c r="H34" s="577"/>
      <c r="I34" s="577"/>
      <c r="J34" s="577"/>
      <c r="K34" s="577"/>
      <c r="L34" s="577"/>
      <c r="M34" s="577"/>
      <c r="N34" s="577"/>
      <c r="O34" s="577"/>
      <c r="P34" s="577"/>
      <c r="Q34" s="577"/>
      <c r="R34" s="577"/>
      <c r="S34" s="577"/>
      <c r="T34" s="577"/>
      <c r="U34" s="577"/>
      <c r="V34" s="577"/>
      <c r="W34" s="577"/>
      <c r="AA34" s="87"/>
    </row>
    <row r="35" spans="1:27" ht="25.5" customHeight="1" thickBot="1">
      <c r="A35" s="840" t="s">
        <v>1672</v>
      </c>
      <c r="B35" s="841" t="s">
        <v>1673</v>
      </c>
      <c r="C35" s="841"/>
      <c r="D35" s="841"/>
      <c r="E35" s="841"/>
      <c r="F35" s="841"/>
      <c r="G35" s="841"/>
      <c r="H35" s="841"/>
      <c r="I35" s="841"/>
      <c r="J35" s="841"/>
      <c r="K35" s="841"/>
      <c r="L35" s="841"/>
      <c r="M35" s="841"/>
      <c r="N35" s="841"/>
      <c r="O35" s="841"/>
      <c r="P35" s="841"/>
      <c r="Q35" s="841"/>
      <c r="R35" s="841"/>
      <c r="S35" s="841"/>
      <c r="T35" s="841"/>
      <c r="U35" s="841"/>
      <c r="V35" s="841"/>
      <c r="W35" s="841"/>
      <c r="AA35" s="87"/>
    </row>
    <row r="36" spans="1:27" ht="25.5" customHeight="1" thickBot="1">
      <c r="A36" s="834">
        <v>1</v>
      </c>
      <c r="B36" s="1621" t="s">
        <v>1674</v>
      </c>
      <c r="C36" s="1622"/>
      <c r="D36" s="1623"/>
      <c r="E36" s="1623"/>
      <c r="F36" s="1623"/>
      <c r="G36" s="1623"/>
      <c r="H36" s="1623"/>
      <c r="I36" s="1623"/>
      <c r="J36" s="1623"/>
      <c r="K36" s="1623"/>
      <c r="L36" s="1623"/>
      <c r="M36" s="1623"/>
      <c r="N36" s="1623"/>
      <c r="O36" s="1623"/>
      <c r="P36" s="1623"/>
      <c r="Q36" s="1623"/>
      <c r="R36" s="1623"/>
      <c r="S36" s="1623"/>
      <c r="T36" s="1623"/>
      <c r="U36" s="1623"/>
      <c r="V36" s="1623"/>
      <c r="W36" s="40" t="s">
        <v>1934</v>
      </c>
      <c r="Y36" s="581" t="str">
        <f>IF(W36="","×","○")</f>
        <v>○</v>
      </c>
      <c r="AA36" s="87"/>
    </row>
    <row r="37" spans="1:27" ht="25.5" customHeight="1" thickBot="1">
      <c r="A37" s="838">
        <v>2</v>
      </c>
      <c r="B37" s="1342" t="s">
        <v>1654</v>
      </c>
      <c r="C37" s="1343"/>
      <c r="D37" s="1370"/>
      <c r="E37" s="1371"/>
      <c r="F37" s="1371"/>
      <c r="G37" s="1371"/>
      <c r="H37" s="1371"/>
      <c r="I37" s="1371"/>
      <c r="J37" s="1371"/>
      <c r="K37" s="1371"/>
      <c r="L37" s="1371"/>
      <c r="M37" s="1371"/>
      <c r="N37" s="1371"/>
      <c r="O37" s="1371"/>
      <c r="P37" s="1371"/>
      <c r="Q37" s="1371"/>
      <c r="R37" s="1371"/>
      <c r="S37" s="1371"/>
      <c r="T37" s="1371"/>
      <c r="U37" s="1371"/>
      <c r="V37" s="1371"/>
      <c r="W37" s="1375"/>
      <c r="Y37" s="583" t="str">
        <f>IF(AND($W$36="はい",D37=""),"×","○")</f>
        <v>○</v>
      </c>
      <c r="Z37" s="583"/>
      <c r="AA37" s="87"/>
    </row>
    <row r="38" spans="1:27" ht="20.25" customHeight="1" thickBot="1">
      <c r="A38" s="839">
        <v>3</v>
      </c>
      <c r="B38" s="1624" t="s">
        <v>1668</v>
      </c>
      <c r="C38" s="1625"/>
      <c r="D38" s="1626"/>
      <c r="E38" s="1626"/>
      <c r="F38" s="1626"/>
      <c r="G38" s="1626"/>
      <c r="H38" s="1626"/>
      <c r="I38" s="1626"/>
      <c r="J38" s="1626"/>
      <c r="K38" s="1626"/>
      <c r="L38" s="1626"/>
      <c r="M38" s="1626"/>
      <c r="N38" s="1626"/>
      <c r="O38" s="1626"/>
      <c r="P38" s="1626"/>
      <c r="Q38" s="1626"/>
      <c r="R38" s="1626"/>
      <c r="S38" s="1626"/>
      <c r="T38" s="1626"/>
      <c r="U38" s="1626"/>
      <c r="V38" s="1626"/>
      <c r="W38" s="40"/>
      <c r="Y38" s="583" t="str">
        <f>IF(AND($W$36="はい",W38=""),"×","○")</f>
        <v>○</v>
      </c>
      <c r="Z38" s="583"/>
      <c r="AA38" s="87"/>
    </row>
    <row r="39" spans="1:27" ht="20.25" customHeight="1">
      <c r="A39" s="577"/>
      <c r="B39" s="577"/>
      <c r="C39" s="577"/>
      <c r="D39" s="577"/>
      <c r="E39" s="577"/>
      <c r="F39" s="577"/>
      <c r="G39" s="577"/>
      <c r="H39" s="577"/>
      <c r="I39" s="577"/>
      <c r="J39" s="577"/>
      <c r="K39" s="577"/>
      <c r="L39" s="577"/>
      <c r="M39" s="577"/>
      <c r="N39" s="577"/>
      <c r="O39" s="577"/>
      <c r="P39" s="577"/>
      <c r="Q39" s="577"/>
      <c r="R39" s="577"/>
      <c r="S39" s="577"/>
      <c r="T39" s="577"/>
      <c r="U39" s="577"/>
      <c r="V39" s="577"/>
      <c r="W39" s="577"/>
      <c r="AA39" s="87"/>
    </row>
    <row r="40" spans="1:27" ht="25.5" customHeight="1" thickBot="1">
      <c r="A40" s="840" t="s">
        <v>1675</v>
      </c>
      <c r="B40" s="841" t="s">
        <v>1676</v>
      </c>
      <c r="AA40" s="87"/>
    </row>
    <row r="41" spans="1:27" ht="25.5" customHeight="1" thickBot="1">
      <c r="A41" s="834">
        <v>1</v>
      </c>
      <c r="B41" s="1621" t="s">
        <v>1677</v>
      </c>
      <c r="C41" s="1622"/>
      <c r="D41" s="1623"/>
      <c r="E41" s="1623"/>
      <c r="F41" s="1623"/>
      <c r="G41" s="1623"/>
      <c r="H41" s="1623"/>
      <c r="I41" s="1623"/>
      <c r="J41" s="1623"/>
      <c r="K41" s="1623"/>
      <c r="L41" s="1623"/>
      <c r="M41" s="1623"/>
      <c r="N41" s="1623"/>
      <c r="O41" s="1623"/>
      <c r="P41" s="1623"/>
      <c r="Q41" s="1623"/>
      <c r="R41" s="1623"/>
      <c r="S41" s="1623"/>
      <c r="T41" s="1623"/>
      <c r="U41" s="1623"/>
      <c r="V41" s="1623"/>
      <c r="W41" s="40" t="s">
        <v>1936</v>
      </c>
      <c r="Y41" s="581" t="str">
        <f>IF(W41="","×","○")</f>
        <v>○</v>
      </c>
      <c r="AA41" s="87"/>
    </row>
    <row r="42" spans="1:27" ht="25.5" customHeight="1" thickBot="1">
      <c r="A42" s="838">
        <v>2</v>
      </c>
      <c r="B42" s="1336" t="s">
        <v>1654</v>
      </c>
      <c r="C42" s="1337"/>
      <c r="D42" s="1370" t="s">
        <v>2042</v>
      </c>
      <c r="E42" s="1371"/>
      <c r="F42" s="1371"/>
      <c r="G42" s="1371"/>
      <c r="H42" s="1371"/>
      <c r="I42" s="1371"/>
      <c r="J42" s="1371"/>
      <c r="K42" s="1371"/>
      <c r="L42" s="1371"/>
      <c r="M42" s="1371"/>
      <c r="N42" s="1371"/>
      <c r="O42" s="1371"/>
      <c r="P42" s="1371"/>
      <c r="Q42" s="1371"/>
      <c r="R42" s="1371"/>
      <c r="S42" s="1371"/>
      <c r="T42" s="1371"/>
      <c r="U42" s="1371"/>
      <c r="V42" s="1371"/>
      <c r="W42" s="1375"/>
      <c r="Y42" s="583" t="str">
        <f>IF(AND($W$41="はい",D42=""),"×","○")</f>
        <v>○</v>
      </c>
      <c r="Z42" s="583"/>
      <c r="AA42" s="87"/>
    </row>
    <row r="43" spans="1:27" ht="18" customHeight="1" thickBot="1">
      <c r="A43" s="839">
        <v>3</v>
      </c>
      <c r="B43" s="1624" t="s">
        <v>1668</v>
      </c>
      <c r="C43" s="1625"/>
      <c r="D43" s="1626"/>
      <c r="E43" s="1626"/>
      <c r="F43" s="1626"/>
      <c r="G43" s="1626"/>
      <c r="H43" s="1626"/>
      <c r="I43" s="1626"/>
      <c r="J43" s="1626"/>
      <c r="K43" s="1626"/>
      <c r="L43" s="1626"/>
      <c r="M43" s="1626"/>
      <c r="N43" s="1626"/>
      <c r="O43" s="1626"/>
      <c r="P43" s="1626"/>
      <c r="Q43" s="1626"/>
      <c r="R43" s="1626"/>
      <c r="S43" s="1626"/>
      <c r="T43" s="1626"/>
      <c r="U43" s="1626"/>
      <c r="V43" s="1626"/>
      <c r="W43" s="40" t="s">
        <v>1936</v>
      </c>
      <c r="Y43" s="583" t="str">
        <f>IF(AND($W$41="はい",W43=""),"×","○")</f>
        <v>○</v>
      </c>
      <c r="Z43" s="583"/>
      <c r="AA43" s="87"/>
    </row>
    <row r="44" spans="1:27" ht="20.25" customHeight="1">
      <c r="A44" s="577"/>
      <c r="B44" s="577"/>
      <c r="C44" s="577"/>
      <c r="D44" s="577"/>
      <c r="E44" s="577"/>
      <c r="F44" s="577"/>
      <c r="G44" s="577"/>
      <c r="H44" s="577"/>
      <c r="I44" s="577"/>
      <c r="J44" s="577"/>
      <c r="K44" s="577"/>
      <c r="L44" s="577"/>
      <c r="M44" s="577"/>
      <c r="N44" s="577"/>
      <c r="O44" s="577"/>
      <c r="P44" s="577"/>
      <c r="Q44" s="577"/>
      <c r="R44" s="577"/>
      <c r="S44" s="577"/>
      <c r="T44" s="577"/>
      <c r="U44" s="577"/>
      <c r="V44" s="577"/>
      <c r="W44" s="577"/>
      <c r="AA44" s="87"/>
    </row>
    <row r="45" spans="1:27" ht="14.25">
      <c r="A45" s="840" t="s">
        <v>1678</v>
      </c>
      <c r="B45" s="841" t="s">
        <v>1679</v>
      </c>
      <c r="AA45" s="87"/>
    </row>
    <row r="46" spans="1:27" ht="14.25" customHeight="1" thickBot="1">
      <c r="A46" s="1104">
        <v>1</v>
      </c>
      <c r="B46" s="1100" t="s">
        <v>1680</v>
      </c>
      <c r="C46" s="1043"/>
      <c r="D46" s="1043"/>
      <c r="E46" s="1043"/>
      <c r="F46" s="1043"/>
      <c r="G46" s="1043"/>
      <c r="H46" s="1043"/>
      <c r="I46" s="1043"/>
      <c r="J46" s="1043"/>
      <c r="K46" s="1043"/>
      <c r="L46" s="1043"/>
      <c r="M46" s="1043"/>
      <c r="N46" s="1043"/>
      <c r="O46" s="1043"/>
      <c r="P46" s="1043"/>
      <c r="Q46" s="1043"/>
      <c r="R46" s="1043"/>
      <c r="S46" s="1043"/>
      <c r="T46" s="1043"/>
      <c r="U46" s="1043"/>
      <c r="V46" s="1043"/>
      <c r="W46" s="1129"/>
      <c r="AA46" s="87"/>
    </row>
    <row r="47" spans="1:27" ht="14.25" customHeight="1">
      <c r="A47" s="1639" t="s">
        <v>2043</v>
      </c>
      <c r="B47" s="1640"/>
      <c r="C47" s="1640"/>
      <c r="D47" s="1640"/>
      <c r="E47" s="1640"/>
      <c r="F47" s="1640"/>
      <c r="G47" s="1640"/>
      <c r="H47" s="1640"/>
      <c r="I47" s="1640"/>
      <c r="J47" s="1640"/>
      <c r="K47" s="1640"/>
      <c r="L47" s="1640"/>
      <c r="M47" s="1640"/>
      <c r="N47" s="1640"/>
      <c r="O47" s="1640"/>
      <c r="P47" s="1640"/>
      <c r="Q47" s="1640"/>
      <c r="R47" s="1640"/>
      <c r="S47" s="1640"/>
      <c r="T47" s="1640"/>
      <c r="U47" s="1640"/>
      <c r="V47" s="1640"/>
      <c r="W47" s="1641"/>
      <c r="AA47" s="87"/>
    </row>
    <row r="48" spans="1:27">
      <c r="A48" s="1642"/>
      <c r="B48" s="1643"/>
      <c r="C48" s="1643"/>
      <c r="D48" s="1643"/>
      <c r="E48" s="1643"/>
      <c r="F48" s="1643"/>
      <c r="G48" s="1643"/>
      <c r="H48" s="1643"/>
      <c r="I48" s="1643"/>
      <c r="J48" s="1643"/>
      <c r="K48" s="1643"/>
      <c r="L48" s="1643"/>
      <c r="M48" s="1643"/>
      <c r="N48" s="1643"/>
      <c r="O48" s="1643"/>
      <c r="P48" s="1643"/>
      <c r="Q48" s="1643"/>
      <c r="R48" s="1643"/>
      <c r="S48" s="1643"/>
      <c r="T48" s="1643"/>
      <c r="U48" s="1643"/>
      <c r="V48" s="1643"/>
      <c r="W48" s="1644"/>
      <c r="AA48" s="87"/>
    </row>
    <row r="49" spans="1:27">
      <c r="A49" s="1642"/>
      <c r="B49" s="1643"/>
      <c r="C49" s="1643"/>
      <c r="D49" s="1643"/>
      <c r="E49" s="1643"/>
      <c r="F49" s="1643"/>
      <c r="G49" s="1643"/>
      <c r="H49" s="1643"/>
      <c r="I49" s="1643"/>
      <c r="J49" s="1643"/>
      <c r="K49" s="1643"/>
      <c r="L49" s="1643"/>
      <c r="M49" s="1643"/>
      <c r="N49" s="1643"/>
      <c r="O49" s="1643"/>
      <c r="P49" s="1643"/>
      <c r="Q49" s="1643"/>
      <c r="R49" s="1643"/>
      <c r="S49" s="1643"/>
      <c r="T49" s="1643"/>
      <c r="U49" s="1643"/>
      <c r="V49" s="1643"/>
      <c r="W49" s="1644"/>
      <c r="AA49" s="87"/>
    </row>
    <row r="50" spans="1:27">
      <c r="A50" s="1642"/>
      <c r="B50" s="1643"/>
      <c r="C50" s="1643"/>
      <c r="D50" s="1643"/>
      <c r="E50" s="1643"/>
      <c r="F50" s="1643"/>
      <c r="G50" s="1643"/>
      <c r="H50" s="1643"/>
      <c r="I50" s="1643"/>
      <c r="J50" s="1643"/>
      <c r="K50" s="1643"/>
      <c r="L50" s="1643"/>
      <c r="M50" s="1643"/>
      <c r="N50" s="1643"/>
      <c r="O50" s="1643"/>
      <c r="P50" s="1643"/>
      <c r="Q50" s="1643"/>
      <c r="R50" s="1643"/>
      <c r="S50" s="1643"/>
      <c r="T50" s="1643"/>
      <c r="U50" s="1643"/>
      <c r="V50" s="1643"/>
      <c r="W50" s="1644"/>
      <c r="AA50" s="87"/>
    </row>
    <row r="51" spans="1:27">
      <c r="A51" s="1642"/>
      <c r="B51" s="1643"/>
      <c r="C51" s="1643"/>
      <c r="D51" s="1643"/>
      <c r="E51" s="1643"/>
      <c r="F51" s="1643"/>
      <c r="G51" s="1643"/>
      <c r="H51" s="1643"/>
      <c r="I51" s="1643"/>
      <c r="J51" s="1643"/>
      <c r="K51" s="1643"/>
      <c r="L51" s="1643"/>
      <c r="M51" s="1643"/>
      <c r="N51" s="1643"/>
      <c r="O51" s="1643"/>
      <c r="P51" s="1643"/>
      <c r="Q51" s="1643"/>
      <c r="R51" s="1643"/>
      <c r="S51" s="1643"/>
      <c r="T51" s="1643"/>
      <c r="U51" s="1643"/>
      <c r="V51" s="1643"/>
      <c r="W51" s="1644"/>
      <c r="AA51" s="87"/>
    </row>
    <row r="52" spans="1:27">
      <c r="A52" s="1642"/>
      <c r="B52" s="1643"/>
      <c r="C52" s="1643"/>
      <c r="D52" s="1643"/>
      <c r="E52" s="1643"/>
      <c r="F52" s="1643"/>
      <c r="G52" s="1643"/>
      <c r="H52" s="1643"/>
      <c r="I52" s="1643"/>
      <c r="J52" s="1643"/>
      <c r="K52" s="1643"/>
      <c r="L52" s="1643"/>
      <c r="M52" s="1643"/>
      <c r="N52" s="1643"/>
      <c r="O52" s="1643"/>
      <c r="P52" s="1643"/>
      <c r="Q52" s="1643"/>
      <c r="R52" s="1643"/>
      <c r="S52" s="1643"/>
      <c r="T52" s="1643"/>
      <c r="U52" s="1643"/>
      <c r="V52" s="1643"/>
      <c r="W52" s="1644"/>
      <c r="AA52" s="87"/>
    </row>
    <row r="53" spans="1:27">
      <c r="A53" s="1642"/>
      <c r="B53" s="1643"/>
      <c r="C53" s="1643"/>
      <c r="D53" s="1643"/>
      <c r="E53" s="1643"/>
      <c r="F53" s="1643"/>
      <c r="G53" s="1643"/>
      <c r="H53" s="1643"/>
      <c r="I53" s="1643"/>
      <c r="J53" s="1643"/>
      <c r="K53" s="1643"/>
      <c r="L53" s="1643"/>
      <c r="M53" s="1643"/>
      <c r="N53" s="1643"/>
      <c r="O53" s="1643"/>
      <c r="P53" s="1643"/>
      <c r="Q53" s="1643"/>
      <c r="R53" s="1643"/>
      <c r="S53" s="1643"/>
      <c r="T53" s="1643"/>
      <c r="U53" s="1643"/>
      <c r="V53" s="1643"/>
      <c r="W53" s="1644"/>
      <c r="AA53" s="87"/>
    </row>
    <row r="54" spans="1:27">
      <c r="A54" s="1642"/>
      <c r="B54" s="1643"/>
      <c r="C54" s="1643"/>
      <c r="D54" s="1643"/>
      <c r="E54" s="1643"/>
      <c r="F54" s="1643"/>
      <c r="G54" s="1643"/>
      <c r="H54" s="1643"/>
      <c r="I54" s="1643"/>
      <c r="J54" s="1643"/>
      <c r="K54" s="1643"/>
      <c r="L54" s="1643"/>
      <c r="M54" s="1643"/>
      <c r="N54" s="1643"/>
      <c r="O54" s="1643"/>
      <c r="P54" s="1643"/>
      <c r="Q54" s="1643"/>
      <c r="R54" s="1643"/>
      <c r="S54" s="1643"/>
      <c r="T54" s="1643"/>
      <c r="U54" s="1643"/>
      <c r="V54" s="1643"/>
      <c r="W54" s="1644"/>
      <c r="AA54" s="87"/>
    </row>
    <row r="55" spans="1:27">
      <c r="A55" s="1642"/>
      <c r="B55" s="1643"/>
      <c r="C55" s="1643"/>
      <c r="D55" s="1643"/>
      <c r="E55" s="1643"/>
      <c r="F55" s="1643"/>
      <c r="G55" s="1643"/>
      <c r="H55" s="1643"/>
      <c r="I55" s="1643"/>
      <c r="J55" s="1643"/>
      <c r="K55" s="1643"/>
      <c r="L55" s="1643"/>
      <c r="M55" s="1643"/>
      <c r="N55" s="1643"/>
      <c r="O55" s="1643"/>
      <c r="P55" s="1643"/>
      <c r="Q55" s="1643"/>
      <c r="R55" s="1643"/>
      <c r="S55" s="1643"/>
      <c r="T55" s="1643"/>
      <c r="U55" s="1643"/>
      <c r="V55" s="1643"/>
      <c r="W55" s="1644"/>
      <c r="AA55" s="87"/>
    </row>
    <row r="56" spans="1:27">
      <c r="A56" s="1642"/>
      <c r="B56" s="1643"/>
      <c r="C56" s="1643"/>
      <c r="D56" s="1643"/>
      <c r="E56" s="1643"/>
      <c r="F56" s="1643"/>
      <c r="G56" s="1643"/>
      <c r="H56" s="1643"/>
      <c r="I56" s="1643"/>
      <c r="J56" s="1643"/>
      <c r="K56" s="1643"/>
      <c r="L56" s="1643"/>
      <c r="M56" s="1643"/>
      <c r="N56" s="1643"/>
      <c r="O56" s="1643"/>
      <c r="P56" s="1643"/>
      <c r="Q56" s="1643"/>
      <c r="R56" s="1643"/>
      <c r="S56" s="1643"/>
      <c r="T56" s="1643"/>
      <c r="U56" s="1643"/>
      <c r="V56" s="1643"/>
      <c r="W56" s="1644"/>
      <c r="AA56" s="87"/>
    </row>
    <row r="57" spans="1:27">
      <c r="A57" s="1642"/>
      <c r="B57" s="1643"/>
      <c r="C57" s="1643"/>
      <c r="D57" s="1643"/>
      <c r="E57" s="1643"/>
      <c r="F57" s="1643"/>
      <c r="G57" s="1643"/>
      <c r="H57" s="1643"/>
      <c r="I57" s="1643"/>
      <c r="J57" s="1643"/>
      <c r="K57" s="1643"/>
      <c r="L57" s="1643"/>
      <c r="M57" s="1643"/>
      <c r="N57" s="1643"/>
      <c r="O57" s="1643"/>
      <c r="P57" s="1643"/>
      <c r="Q57" s="1643"/>
      <c r="R57" s="1643"/>
      <c r="S57" s="1643"/>
      <c r="T57" s="1643"/>
      <c r="U57" s="1643"/>
      <c r="V57" s="1643"/>
      <c r="W57" s="1644"/>
      <c r="AA57" s="87"/>
    </row>
    <row r="58" spans="1:27">
      <c r="A58" s="1642"/>
      <c r="B58" s="1643"/>
      <c r="C58" s="1643"/>
      <c r="D58" s="1643"/>
      <c r="E58" s="1643"/>
      <c r="F58" s="1643"/>
      <c r="G58" s="1643"/>
      <c r="H58" s="1643"/>
      <c r="I58" s="1643"/>
      <c r="J58" s="1643"/>
      <c r="K58" s="1643"/>
      <c r="L58" s="1643"/>
      <c r="M58" s="1643"/>
      <c r="N58" s="1643"/>
      <c r="O58" s="1643"/>
      <c r="P58" s="1643"/>
      <c r="Q58" s="1643"/>
      <c r="R58" s="1643"/>
      <c r="S58" s="1643"/>
      <c r="T58" s="1643"/>
      <c r="U58" s="1643"/>
      <c r="V58" s="1643"/>
      <c r="W58" s="1644"/>
      <c r="AA58" s="87"/>
    </row>
    <row r="59" spans="1:27">
      <c r="A59" s="1642"/>
      <c r="B59" s="1643"/>
      <c r="C59" s="1643"/>
      <c r="D59" s="1643"/>
      <c r="E59" s="1643"/>
      <c r="F59" s="1643"/>
      <c r="G59" s="1643"/>
      <c r="H59" s="1643"/>
      <c r="I59" s="1643"/>
      <c r="J59" s="1643"/>
      <c r="K59" s="1643"/>
      <c r="L59" s="1643"/>
      <c r="M59" s="1643"/>
      <c r="N59" s="1643"/>
      <c r="O59" s="1643"/>
      <c r="P59" s="1643"/>
      <c r="Q59" s="1643"/>
      <c r="R59" s="1643"/>
      <c r="S59" s="1643"/>
      <c r="T59" s="1643"/>
      <c r="U59" s="1643"/>
      <c r="V59" s="1643"/>
      <c r="W59" s="1644"/>
      <c r="AA59" s="87"/>
    </row>
    <row r="60" spans="1:27">
      <c r="A60" s="1642"/>
      <c r="B60" s="1643"/>
      <c r="C60" s="1643"/>
      <c r="D60" s="1643"/>
      <c r="E60" s="1643"/>
      <c r="F60" s="1643"/>
      <c r="G60" s="1643"/>
      <c r="H60" s="1643"/>
      <c r="I60" s="1643"/>
      <c r="J60" s="1643"/>
      <c r="K60" s="1643"/>
      <c r="L60" s="1643"/>
      <c r="M60" s="1643"/>
      <c r="N60" s="1643"/>
      <c r="O60" s="1643"/>
      <c r="P60" s="1643"/>
      <c r="Q60" s="1643"/>
      <c r="R60" s="1643"/>
      <c r="S60" s="1643"/>
      <c r="T60" s="1643"/>
      <c r="U60" s="1643"/>
      <c r="V60" s="1643"/>
      <c r="W60" s="1644"/>
      <c r="AA60" s="87"/>
    </row>
    <row r="61" spans="1:27">
      <c r="A61" s="1642"/>
      <c r="B61" s="1643"/>
      <c r="C61" s="1643"/>
      <c r="D61" s="1643"/>
      <c r="E61" s="1643"/>
      <c r="F61" s="1643"/>
      <c r="G61" s="1643"/>
      <c r="H61" s="1643"/>
      <c r="I61" s="1643"/>
      <c r="J61" s="1643"/>
      <c r="K61" s="1643"/>
      <c r="L61" s="1643"/>
      <c r="M61" s="1643"/>
      <c r="N61" s="1643"/>
      <c r="O61" s="1643"/>
      <c r="P61" s="1643"/>
      <c r="Q61" s="1643"/>
      <c r="R61" s="1643"/>
      <c r="S61" s="1643"/>
      <c r="T61" s="1643"/>
      <c r="U61" s="1643"/>
      <c r="V61" s="1643"/>
      <c r="W61" s="1644"/>
      <c r="AA61" s="87"/>
    </row>
    <row r="62" spans="1:27" ht="12.75" thickBot="1">
      <c r="A62" s="1645"/>
      <c r="B62" s="1646"/>
      <c r="C62" s="1646"/>
      <c r="D62" s="1646"/>
      <c r="E62" s="1646"/>
      <c r="F62" s="1646"/>
      <c r="G62" s="1646"/>
      <c r="H62" s="1646"/>
      <c r="I62" s="1646"/>
      <c r="J62" s="1646"/>
      <c r="K62" s="1646"/>
      <c r="L62" s="1646"/>
      <c r="M62" s="1646"/>
      <c r="N62" s="1646"/>
      <c r="O62" s="1646"/>
      <c r="P62" s="1646"/>
      <c r="Q62" s="1646"/>
      <c r="R62" s="1646"/>
      <c r="S62" s="1646"/>
      <c r="T62" s="1646"/>
      <c r="U62" s="1646"/>
      <c r="V62" s="1646"/>
      <c r="W62" s="1647"/>
      <c r="AA62" s="160"/>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10"/>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zoomScaleNormal="100" zoomScaleSheetLayoutView="100" workbookViewId="0">
      <selection activeCell="E13" sqref="E13"/>
    </sheetView>
  </sheetViews>
  <sheetFormatPr defaultColWidth="8.875" defaultRowHeight="13.5"/>
  <cols>
    <col min="1" max="1" width="3.625" style="532" customWidth="1"/>
    <col min="2" max="2" width="12.625" style="532" customWidth="1"/>
    <col min="3" max="4" width="8.625" style="532" customWidth="1"/>
    <col min="5" max="5" width="6.625" style="532" customWidth="1"/>
    <col min="6" max="6" width="17.625" style="532" customWidth="1"/>
    <col min="7" max="7" width="34.625" style="532" customWidth="1"/>
    <col min="8" max="8" width="2.625" style="532" customWidth="1"/>
    <col min="9" max="9" width="2.625" style="532" hidden="1" customWidth="1"/>
    <col min="10" max="10" width="2.25" style="532" hidden="1" customWidth="1"/>
    <col min="11" max="11" width="80.625" style="340" customWidth="1"/>
    <col min="12" max="16384" width="8.875" style="532"/>
  </cols>
  <sheetData>
    <row r="1" spans="1:11" ht="19.5" customHeight="1" thickBot="1">
      <c r="A1" s="1226" t="s">
        <v>1681</v>
      </c>
      <c r="B1" s="1658"/>
      <c r="C1" s="1658"/>
      <c r="D1" s="1658"/>
      <c r="E1" s="1658"/>
      <c r="F1" s="1658"/>
      <c r="G1" s="1658"/>
      <c r="J1" s="64"/>
    </row>
    <row r="2" spans="1:11" ht="35.1" customHeight="1" thickBot="1">
      <c r="A2" s="1228" t="s">
        <v>1348</v>
      </c>
      <c r="B2" s="1228"/>
      <c r="C2" s="1228"/>
      <c r="D2" s="1228"/>
      <c r="E2" s="1228"/>
      <c r="F2" s="1248"/>
      <c r="G2" s="827" t="str">
        <f>IF(COUNTIF(I12,"×")&gt;=1,"未入力あり","入力済")</f>
        <v>入力済</v>
      </c>
      <c r="H2" s="1595"/>
      <c r="I2" s="817"/>
      <c r="J2" s="64"/>
    </row>
    <row r="3" spans="1:11" ht="5.0999999999999996" customHeight="1">
      <c r="A3" s="554"/>
      <c r="B3" s="554"/>
      <c r="C3" s="554"/>
      <c r="D3" s="554"/>
      <c r="E3" s="554"/>
      <c r="F3" s="554"/>
      <c r="G3" s="554"/>
      <c r="H3" s="1595"/>
      <c r="I3" s="817"/>
      <c r="J3" s="9"/>
    </row>
    <row r="4" spans="1:11" ht="20.100000000000001" customHeight="1">
      <c r="A4" s="554"/>
      <c r="B4" s="554"/>
      <c r="C4" s="554" t="s">
        <v>1682</v>
      </c>
      <c r="D4" s="554"/>
      <c r="E4" s="554"/>
      <c r="F4" s="829" t="s">
        <v>1222</v>
      </c>
      <c r="G4" s="849" t="str">
        <f>表紙!E2</f>
        <v>市立豊中病院</v>
      </c>
      <c r="H4" s="1595"/>
      <c r="I4" s="817"/>
      <c r="J4" s="64"/>
    </row>
    <row r="5" spans="1:11" ht="20.100000000000001" customHeight="1">
      <c r="F5" s="536" t="s">
        <v>1223</v>
      </c>
      <c r="G5" s="1" t="str">
        <f>+'事務局使用（発出時は非表示にすること）'!B3</f>
        <v>令和６年９月１日時点</v>
      </c>
      <c r="K5" s="188" t="s">
        <v>268</v>
      </c>
    </row>
    <row r="6" spans="1:11" ht="20.100000000000001" customHeight="1">
      <c r="A6" s="1662" t="s">
        <v>1683</v>
      </c>
      <c r="B6" s="1662"/>
      <c r="C6" s="1662"/>
      <c r="D6" s="1662"/>
      <c r="E6" s="1662"/>
      <c r="F6" s="1662"/>
      <c r="G6" s="1662"/>
      <c r="K6" s="87"/>
    </row>
    <row r="7" spans="1:11" ht="65.25" customHeight="1">
      <c r="A7" s="1663" t="s">
        <v>1684</v>
      </c>
      <c r="B7" s="1664"/>
      <c r="C7" s="1664"/>
      <c r="D7" s="1664"/>
      <c r="E7" s="1664"/>
      <c r="F7" s="1664"/>
      <c r="G7" s="1664"/>
      <c r="K7" s="87"/>
    </row>
    <row r="8" spans="1:11" ht="27.95" customHeight="1">
      <c r="A8" s="1659"/>
      <c r="B8" s="1660" t="s">
        <v>1685</v>
      </c>
      <c r="C8" s="1661" t="s">
        <v>1686</v>
      </c>
      <c r="D8" s="1661" t="s">
        <v>1687</v>
      </c>
      <c r="E8" s="1657" t="s">
        <v>1688</v>
      </c>
      <c r="F8" s="1657" t="s">
        <v>1689</v>
      </c>
      <c r="G8" s="539" t="s">
        <v>1690</v>
      </c>
      <c r="K8" s="87"/>
    </row>
    <row r="9" spans="1:11" ht="18" customHeight="1">
      <c r="A9" s="1659"/>
      <c r="B9" s="1660"/>
      <c r="C9" s="1661"/>
      <c r="D9" s="1661"/>
      <c r="E9" s="1657"/>
      <c r="F9" s="1657"/>
      <c r="G9" s="850" t="s">
        <v>1691</v>
      </c>
      <c r="K9" s="87"/>
    </row>
    <row r="10" spans="1:11" ht="18" customHeight="1">
      <c r="A10" s="851" t="s">
        <v>1559</v>
      </c>
      <c r="B10" s="852" t="s">
        <v>1692</v>
      </c>
      <c r="C10" s="853">
        <v>4</v>
      </c>
      <c r="D10" s="853">
        <v>2</v>
      </c>
      <c r="E10" s="854" t="s">
        <v>339</v>
      </c>
      <c r="F10" s="854" t="s">
        <v>1693</v>
      </c>
      <c r="G10" s="855" t="s">
        <v>1694</v>
      </c>
      <c r="K10" s="87"/>
    </row>
    <row r="11" spans="1:11" ht="18" customHeight="1" thickBot="1">
      <c r="A11" s="851" t="s">
        <v>1559</v>
      </c>
      <c r="B11" s="856" t="s">
        <v>1695</v>
      </c>
      <c r="C11" s="857">
        <v>1</v>
      </c>
      <c r="D11" s="857">
        <v>1</v>
      </c>
      <c r="E11" s="858" t="s">
        <v>1696</v>
      </c>
      <c r="F11" s="858" t="s">
        <v>1697</v>
      </c>
      <c r="G11" s="859" t="s">
        <v>1698</v>
      </c>
      <c r="K11" s="87"/>
    </row>
    <row r="12" spans="1:11" ht="36" customHeight="1" thickBot="1">
      <c r="A12" s="860">
        <v>1</v>
      </c>
      <c r="B12" s="52" t="s">
        <v>1692</v>
      </c>
      <c r="C12" s="53">
        <v>18</v>
      </c>
      <c r="D12" s="53">
        <v>14</v>
      </c>
      <c r="E12" s="52" t="s">
        <v>1789</v>
      </c>
      <c r="F12" s="52" t="s">
        <v>1565</v>
      </c>
      <c r="G12" s="51" t="s">
        <v>2044</v>
      </c>
      <c r="H12" s="861"/>
      <c r="I12" s="676" t="str">
        <f>IF(AND(B12&lt;&gt;"",C12&lt;&gt;"",D12&lt;&gt;"",E12&lt;&gt;"",F12&lt;&gt;"",G12&lt;&gt;""),"○","×")</f>
        <v>○</v>
      </c>
      <c r="K12" s="87"/>
    </row>
    <row r="13" spans="1:11" ht="36" customHeight="1" thickBot="1">
      <c r="A13" s="860">
        <v>2</v>
      </c>
      <c r="B13" s="52" t="s">
        <v>1692</v>
      </c>
      <c r="C13" s="53">
        <v>4</v>
      </c>
      <c r="D13" s="53">
        <v>11</v>
      </c>
      <c r="E13" s="52" t="s">
        <v>1984</v>
      </c>
      <c r="F13" s="52" t="s">
        <v>2045</v>
      </c>
      <c r="G13" s="51" t="s">
        <v>2044</v>
      </c>
      <c r="K13" s="87"/>
    </row>
    <row r="14" spans="1:11" ht="36" customHeight="1" thickBot="1">
      <c r="A14" s="860">
        <v>3</v>
      </c>
      <c r="B14" s="52" t="s">
        <v>1692</v>
      </c>
      <c r="C14" s="53">
        <v>13</v>
      </c>
      <c r="D14" s="53">
        <v>3</v>
      </c>
      <c r="E14" s="52" t="s">
        <v>1984</v>
      </c>
      <c r="F14" s="52" t="s">
        <v>1565</v>
      </c>
      <c r="G14" s="51" t="s">
        <v>2046</v>
      </c>
      <c r="K14" s="87"/>
    </row>
    <row r="15" spans="1:11" ht="36" customHeight="1" thickBot="1">
      <c r="A15" s="860">
        <v>4</v>
      </c>
      <c r="B15" s="52" t="s">
        <v>1692</v>
      </c>
      <c r="C15" s="53">
        <v>4</v>
      </c>
      <c r="D15" s="53">
        <v>1</v>
      </c>
      <c r="E15" s="52" t="s">
        <v>1984</v>
      </c>
      <c r="F15" s="52" t="s">
        <v>1565</v>
      </c>
      <c r="G15" s="51" t="s">
        <v>2047</v>
      </c>
      <c r="K15" s="87"/>
    </row>
    <row r="16" spans="1:11" ht="36" customHeight="1" thickBot="1">
      <c r="A16" s="860">
        <v>5</v>
      </c>
      <c r="B16" s="52"/>
      <c r="C16" s="53"/>
      <c r="D16" s="53"/>
      <c r="E16" s="52"/>
      <c r="F16" s="52"/>
      <c r="G16" s="51"/>
      <c r="K16" s="87"/>
    </row>
    <row r="17" spans="1:11" ht="36" customHeight="1" thickBot="1">
      <c r="A17" s="860">
        <v>6</v>
      </c>
      <c r="B17" s="52"/>
      <c r="C17" s="53"/>
      <c r="D17" s="53"/>
      <c r="E17" s="52"/>
      <c r="F17" s="52"/>
      <c r="G17" s="51"/>
      <c r="K17" s="87"/>
    </row>
    <row r="18" spans="1:11" ht="36" customHeight="1" thickBot="1">
      <c r="A18" s="860">
        <v>7</v>
      </c>
      <c r="B18" s="52"/>
      <c r="C18" s="53"/>
      <c r="D18" s="53"/>
      <c r="E18" s="52"/>
      <c r="F18" s="52"/>
      <c r="G18" s="51"/>
      <c r="K18" s="87"/>
    </row>
    <row r="19" spans="1:11" ht="36" customHeight="1" thickBot="1">
      <c r="A19" s="860">
        <v>8</v>
      </c>
      <c r="B19" s="52"/>
      <c r="C19" s="53"/>
      <c r="D19" s="53"/>
      <c r="E19" s="52"/>
      <c r="F19" s="52"/>
      <c r="G19" s="51"/>
      <c r="K19" s="87"/>
    </row>
    <row r="20" spans="1:11" ht="36" customHeight="1" thickBot="1">
      <c r="A20" s="860">
        <v>9</v>
      </c>
      <c r="B20" s="52"/>
      <c r="C20" s="53"/>
      <c r="D20" s="53"/>
      <c r="E20" s="52"/>
      <c r="F20" s="52"/>
      <c r="G20" s="51"/>
      <c r="K20" s="87"/>
    </row>
    <row r="21" spans="1:11" ht="36" customHeight="1" thickBot="1">
      <c r="A21" s="860">
        <v>10</v>
      </c>
      <c r="B21" s="52"/>
      <c r="C21" s="53"/>
      <c r="D21" s="53"/>
      <c r="E21" s="52"/>
      <c r="F21" s="52"/>
      <c r="G21" s="51"/>
      <c r="K21" s="87"/>
    </row>
    <row r="22" spans="1:11" ht="36" customHeight="1" thickBot="1">
      <c r="A22" s="860">
        <v>11</v>
      </c>
      <c r="B22" s="52"/>
      <c r="C22" s="53"/>
      <c r="D22" s="53"/>
      <c r="E22" s="52"/>
      <c r="F22" s="52"/>
      <c r="G22" s="51"/>
      <c r="K22" s="87"/>
    </row>
    <row r="23" spans="1:11" ht="36" customHeight="1" thickBot="1">
      <c r="A23" s="860">
        <v>12</v>
      </c>
      <c r="B23" s="52"/>
      <c r="C23" s="53"/>
      <c r="D23" s="53"/>
      <c r="E23" s="52"/>
      <c r="F23" s="52"/>
      <c r="G23" s="51"/>
      <c r="K23" s="87"/>
    </row>
    <row r="24" spans="1:11" ht="36" customHeight="1" thickBot="1">
      <c r="A24" s="860">
        <v>13</v>
      </c>
      <c r="B24" s="52"/>
      <c r="C24" s="53"/>
      <c r="D24" s="53"/>
      <c r="E24" s="52"/>
      <c r="F24" s="52"/>
      <c r="G24" s="51"/>
      <c r="K24" s="87"/>
    </row>
    <row r="25" spans="1:11" ht="36" customHeight="1" thickBot="1">
      <c r="A25" s="860">
        <v>14</v>
      </c>
      <c r="B25" s="52"/>
      <c r="C25" s="53"/>
      <c r="D25" s="53"/>
      <c r="E25" s="52"/>
      <c r="F25" s="52"/>
      <c r="G25" s="51"/>
      <c r="K25" s="87"/>
    </row>
    <row r="26" spans="1:11" ht="36" customHeight="1" thickBot="1">
      <c r="A26" s="860">
        <v>15</v>
      </c>
      <c r="B26" s="52"/>
      <c r="C26" s="53"/>
      <c r="D26" s="53"/>
      <c r="E26" s="52"/>
      <c r="F26" s="52"/>
      <c r="G26" s="51"/>
      <c r="K26" s="160"/>
    </row>
    <row r="27" spans="1:11">
      <c r="H27" s="862" t="s">
        <v>1422</v>
      </c>
      <c r="I27" s="862"/>
      <c r="J27" s="862"/>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0"/>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"専従,専任,その他"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zoomScaleNormal="100" zoomScaleSheetLayoutView="100" workbookViewId="0">
      <selection activeCell="M29" sqref="M29:W29"/>
    </sheetView>
  </sheetViews>
  <sheetFormatPr defaultColWidth="9" defaultRowHeight="12"/>
  <cols>
    <col min="1" max="1" width="4.125" style="581" customWidth="1"/>
    <col min="2" max="2" width="15.625" style="581" customWidth="1"/>
    <col min="3" max="3" width="7.625" style="581" customWidth="1"/>
    <col min="4" max="4" width="25.625" style="581" customWidth="1"/>
    <col min="5" max="13" width="2.625" style="581" customWidth="1"/>
    <col min="14" max="14" width="1.625" style="581" customWidth="1"/>
    <col min="15" max="22" width="2.625" style="581" customWidth="1"/>
    <col min="23" max="23" width="4.625" style="581" customWidth="1"/>
    <col min="24" max="24" width="2.625" style="581" customWidth="1"/>
    <col min="25" max="25" width="6" style="581" hidden="1" customWidth="1"/>
    <col min="26" max="26" width="2.25" style="61" hidden="1" customWidth="1"/>
    <col min="27" max="27" width="80.625" style="120" customWidth="1"/>
    <col min="28" max="16384" width="9" style="581"/>
  </cols>
  <sheetData>
    <row r="1" spans="1:29" ht="20.25" customHeight="1" thickBot="1">
      <c r="A1" s="1247" t="s">
        <v>1699</v>
      </c>
      <c r="B1" s="1247"/>
      <c r="C1" s="1247"/>
      <c r="D1" s="1247"/>
      <c r="E1" s="1247"/>
      <c r="F1" s="1247"/>
      <c r="G1" s="1247"/>
      <c r="H1" s="1247"/>
      <c r="I1" s="1247"/>
      <c r="J1" s="1247"/>
      <c r="K1" s="1247"/>
      <c r="L1" s="1247"/>
      <c r="M1" s="1247"/>
      <c r="N1" s="1247"/>
      <c r="O1" s="1247"/>
      <c r="P1" s="1247"/>
      <c r="Q1" s="1247"/>
      <c r="R1" s="1247"/>
      <c r="S1" s="1247"/>
      <c r="T1" s="1247"/>
      <c r="U1" s="1247"/>
      <c r="V1" s="1247"/>
      <c r="W1" s="1247"/>
      <c r="Y1" s="64"/>
      <c r="Z1" s="97"/>
    </row>
    <row r="2" spans="1:29" ht="24.95" customHeight="1" thickBot="1">
      <c r="A2" s="1692" t="s">
        <v>1348</v>
      </c>
      <c r="B2" s="1692"/>
      <c r="C2" s="1692"/>
      <c r="D2" s="1692"/>
      <c r="E2" s="1692"/>
      <c r="F2" s="1692"/>
      <c r="G2" s="1692"/>
      <c r="H2" s="1692"/>
      <c r="I2" s="1692"/>
      <c r="J2" s="1692"/>
      <c r="K2" s="1692"/>
      <c r="L2" s="1692"/>
      <c r="M2" s="1692"/>
      <c r="N2" s="1692"/>
      <c r="O2" s="1692"/>
      <c r="P2" s="1692"/>
      <c r="Q2" s="1692"/>
      <c r="R2" s="1692"/>
      <c r="S2" s="1693"/>
      <c r="T2" s="1689" t="str">
        <f>IF(COUNTIF(Y7:Y35,"×")&gt;=1,"未入力あり","入力済")</f>
        <v>入力済</v>
      </c>
      <c r="U2" s="1690"/>
      <c r="V2" s="1690"/>
      <c r="W2" s="1691"/>
      <c r="X2" s="1595"/>
      <c r="Y2" s="64"/>
      <c r="Z2" s="97"/>
    </row>
    <row r="3" spans="1:29" ht="5.0999999999999996" customHeight="1">
      <c r="A3" s="577"/>
      <c r="B3" s="577"/>
      <c r="C3" s="577"/>
      <c r="D3" s="577"/>
      <c r="E3" s="577"/>
      <c r="F3" s="577"/>
      <c r="G3" s="577"/>
      <c r="H3" s="577"/>
      <c r="I3" s="577"/>
      <c r="J3" s="577"/>
      <c r="K3" s="577"/>
      <c r="L3" s="577"/>
      <c r="M3" s="577"/>
      <c r="N3" s="577"/>
      <c r="O3" s="577"/>
      <c r="P3" s="577"/>
      <c r="Q3" s="577"/>
      <c r="R3" s="577"/>
      <c r="S3" s="577"/>
      <c r="T3" s="577"/>
      <c r="U3" s="577"/>
      <c r="V3" s="577"/>
      <c r="W3" s="577"/>
      <c r="X3" s="1595"/>
    </row>
    <row r="4" spans="1:29" ht="20.100000000000001" customHeight="1">
      <c r="A4" s="577"/>
      <c r="B4" s="577"/>
      <c r="C4" s="577"/>
      <c r="D4" s="863" t="s">
        <v>1222</v>
      </c>
      <c r="E4" s="1686" t="str">
        <f>表紙!E2</f>
        <v>市立豊中病院</v>
      </c>
      <c r="F4" s="1687"/>
      <c r="G4" s="1687"/>
      <c r="H4" s="1687"/>
      <c r="I4" s="1687"/>
      <c r="J4" s="1687"/>
      <c r="K4" s="1687"/>
      <c r="L4" s="1687"/>
      <c r="M4" s="1687"/>
      <c r="N4" s="1687"/>
      <c r="O4" s="1687"/>
      <c r="P4" s="1687"/>
      <c r="Q4" s="1687"/>
      <c r="R4" s="1687"/>
      <c r="S4" s="1687"/>
      <c r="T4" s="1687"/>
      <c r="U4" s="1687"/>
      <c r="V4" s="1687"/>
      <c r="W4" s="1688"/>
      <c r="X4" s="1595"/>
      <c r="Y4" s="583"/>
      <c r="Z4" s="120"/>
      <c r="AA4" s="188" t="s">
        <v>268</v>
      </c>
    </row>
    <row r="5" spans="1:29" customFormat="1" ht="20.100000000000001" customHeight="1">
      <c r="A5" s="864" t="s">
        <v>1651</v>
      </c>
      <c r="B5" s="61" t="s">
        <v>1700</v>
      </c>
      <c r="C5" s="61"/>
      <c r="D5" s="61"/>
      <c r="E5" s="739"/>
      <c r="F5" s="718"/>
      <c r="G5" s="718"/>
      <c r="H5" s="718"/>
      <c r="I5" s="718"/>
      <c r="J5" s="718"/>
      <c r="K5" s="718"/>
      <c r="L5" s="718"/>
      <c r="M5" s="718"/>
      <c r="N5" s="718"/>
      <c r="O5" s="718"/>
      <c r="P5" s="718"/>
      <c r="Q5" s="718"/>
      <c r="R5" s="718"/>
      <c r="S5" s="718"/>
      <c r="T5" s="718"/>
      <c r="U5" s="718"/>
      <c r="V5" s="718"/>
      <c r="W5" s="865" t="str">
        <f>+'事務局使用（発出時は非表示にすること）'!B3</f>
        <v>令和６年９月１日時点</v>
      </c>
      <c r="Z5" s="59"/>
      <c r="AA5" s="87"/>
    </row>
    <row r="6" spans="1:29" ht="22.15" customHeight="1" thickBot="1">
      <c r="A6" s="866" t="s">
        <v>1701</v>
      </c>
      <c r="B6" s="1665" t="s">
        <v>1702</v>
      </c>
      <c r="C6" s="1665"/>
      <c r="D6" s="1665"/>
      <c r="E6" s="1665"/>
      <c r="F6" s="1665"/>
      <c r="G6" s="1665"/>
      <c r="H6" s="1665"/>
      <c r="I6" s="1665"/>
      <c r="J6" s="1665"/>
      <c r="K6" s="1665"/>
      <c r="L6" s="1665"/>
      <c r="M6" s="1665"/>
      <c r="N6" s="1665"/>
      <c r="O6" s="1665"/>
      <c r="P6" s="1665"/>
      <c r="Q6" s="1665"/>
      <c r="R6" s="1665"/>
      <c r="S6" s="1665"/>
      <c r="T6" s="1665"/>
      <c r="U6" s="1665"/>
      <c r="V6" s="1665"/>
      <c r="W6" s="1665"/>
      <c r="Z6" s="867"/>
      <c r="AA6" s="173"/>
    </row>
    <row r="7" spans="1:29" ht="21" customHeight="1" thickBot="1">
      <c r="A7" s="1367">
        <v>1</v>
      </c>
      <c r="B7" s="1678" t="s">
        <v>1703</v>
      </c>
      <c r="C7" s="1679"/>
      <c r="D7" s="1679"/>
      <c r="E7" s="1679"/>
      <c r="F7" s="1679"/>
      <c r="G7" s="1679"/>
      <c r="H7" s="1679"/>
      <c r="I7" s="1679"/>
      <c r="J7" s="1679"/>
      <c r="K7" s="1679"/>
      <c r="L7" s="1680"/>
      <c r="M7" s="1433" t="s">
        <v>2048</v>
      </c>
      <c r="N7" s="1676"/>
      <c r="O7" s="1676"/>
      <c r="P7" s="1676"/>
      <c r="Q7" s="1676"/>
      <c r="R7" s="1676"/>
      <c r="S7" s="1676"/>
      <c r="T7" s="1676"/>
      <c r="U7" s="1676"/>
      <c r="V7" s="1676"/>
      <c r="W7" s="1677"/>
      <c r="X7" s="583"/>
      <c r="Y7" s="581" t="str">
        <f>IF(M7="","×","○")</f>
        <v>○</v>
      </c>
      <c r="Z7" s="867"/>
      <c r="AA7" s="173"/>
    </row>
    <row r="8" spans="1:29" ht="15" customHeight="1" thickBot="1">
      <c r="A8" s="1295"/>
      <c r="B8" s="868" t="s">
        <v>1704</v>
      </c>
      <c r="C8" s="869"/>
      <c r="D8" s="869"/>
      <c r="E8" s="869"/>
      <c r="F8" s="869"/>
      <c r="G8" s="869"/>
      <c r="H8" s="1044"/>
      <c r="I8" s="1044"/>
      <c r="J8" s="869"/>
      <c r="K8" s="869"/>
      <c r="L8" s="1044"/>
      <c r="M8" s="583"/>
      <c r="N8" s="584"/>
      <c r="O8" s="584"/>
      <c r="P8" s="584"/>
      <c r="Q8" s="583"/>
      <c r="R8" s="583"/>
      <c r="S8" s="584"/>
      <c r="T8" s="584"/>
      <c r="U8" s="584"/>
      <c r="V8" s="584"/>
      <c r="W8" s="870"/>
      <c r="X8" s="583"/>
      <c r="Y8" s="583"/>
      <c r="Z8" s="867"/>
      <c r="AA8" s="173"/>
    </row>
    <row r="9" spans="1:29" ht="21" customHeight="1" thickBot="1">
      <c r="A9" s="1295"/>
      <c r="B9" s="1110" t="s">
        <v>1705</v>
      </c>
      <c r="C9" s="1045"/>
      <c r="D9" s="871"/>
      <c r="E9" s="1681" t="s">
        <v>1706</v>
      </c>
      <c r="F9" s="1681"/>
      <c r="G9" s="1682"/>
      <c r="H9" s="1674"/>
      <c r="I9" s="1675"/>
      <c r="J9" s="1671" t="s">
        <v>1707</v>
      </c>
      <c r="K9" s="1673"/>
      <c r="L9" s="1674"/>
      <c r="M9" s="1675"/>
      <c r="N9" s="1671" t="s">
        <v>1708</v>
      </c>
      <c r="O9" s="1672"/>
      <c r="P9" s="1673"/>
      <c r="Q9" s="1674"/>
      <c r="R9" s="1675"/>
      <c r="S9" s="1671" t="s">
        <v>1709</v>
      </c>
      <c r="T9" s="1672"/>
      <c r="U9" s="1672"/>
      <c r="V9" s="1673"/>
      <c r="W9" s="54"/>
      <c r="X9" s="583"/>
      <c r="Y9" s="583" t="str">
        <f>IF(AND(M7="臨床試験専用の窓口がある",AND(H9="",L9="",Q9="",W9="")),"×","○")</f>
        <v>○</v>
      </c>
      <c r="Z9" s="867"/>
      <c r="AA9" s="173"/>
    </row>
    <row r="10" spans="1:29" ht="21" customHeight="1" thickBot="1">
      <c r="A10" s="1295"/>
      <c r="B10" s="1369" t="s">
        <v>1363</v>
      </c>
      <c r="C10" s="1369"/>
      <c r="D10" s="1370"/>
      <c r="E10" s="1371"/>
      <c r="F10" s="1371"/>
      <c r="G10" s="1371"/>
      <c r="H10" s="1371"/>
      <c r="I10" s="1371"/>
      <c r="J10" s="1371"/>
      <c r="K10" s="1371"/>
      <c r="L10" s="1371"/>
      <c r="M10" s="1371"/>
      <c r="N10" s="1371"/>
      <c r="O10" s="1371"/>
      <c r="P10" s="1371"/>
      <c r="Q10" s="1371"/>
      <c r="R10" s="1371"/>
      <c r="S10" s="1371"/>
      <c r="T10" s="1371"/>
      <c r="U10" s="1371"/>
      <c r="V10" s="1371"/>
      <c r="W10" s="1375"/>
      <c r="X10" s="583"/>
      <c r="Y10" s="583" t="str">
        <f>IF(AND(H9="○",D10=""),"×","○")</f>
        <v>○</v>
      </c>
      <c r="Z10" s="867"/>
      <c r="AA10" s="173"/>
    </row>
    <row r="11" spans="1:29" ht="54" customHeight="1" thickBot="1">
      <c r="A11" s="1295"/>
      <c r="B11" s="1669" t="s">
        <v>1710</v>
      </c>
      <c r="C11" s="872" t="s">
        <v>1359</v>
      </c>
      <c r="D11" s="1223"/>
      <c r="E11" s="1300"/>
      <c r="F11" s="1300"/>
      <c r="G11" s="1300"/>
      <c r="H11" s="1300"/>
      <c r="I11" s="1300"/>
      <c r="J11" s="1300"/>
      <c r="K11" s="1300"/>
      <c r="L11" s="1300"/>
      <c r="M11" s="1300"/>
      <c r="N11" s="1300"/>
      <c r="O11" s="1300"/>
      <c r="P11" s="1300"/>
      <c r="Q11" s="1300"/>
      <c r="R11" s="1300"/>
      <c r="S11" s="1300"/>
      <c r="T11" s="1300"/>
      <c r="U11" s="1300"/>
      <c r="V11" s="1300"/>
      <c r="W11" s="1224"/>
      <c r="X11" s="583"/>
      <c r="Y11" s="583"/>
      <c r="Z11" s="867"/>
      <c r="AA11" s="173"/>
    </row>
    <row r="12" spans="1:29" ht="21" customHeight="1" thickBot="1">
      <c r="A12" s="1295"/>
      <c r="B12" s="1670"/>
      <c r="C12" s="873" t="s">
        <v>1384</v>
      </c>
      <c r="D12" s="1223"/>
      <c r="E12" s="1300"/>
      <c r="F12" s="1300"/>
      <c r="G12" s="1300"/>
      <c r="H12" s="1300"/>
      <c r="I12" s="1300"/>
      <c r="J12" s="1300"/>
      <c r="K12" s="1300"/>
      <c r="L12" s="1300"/>
      <c r="M12" s="1300"/>
      <c r="N12" s="1300"/>
      <c r="O12" s="1300"/>
      <c r="P12" s="1300"/>
      <c r="Q12" s="1300"/>
      <c r="R12" s="1300"/>
      <c r="S12" s="1300"/>
      <c r="T12" s="1300"/>
      <c r="U12" s="1300"/>
      <c r="V12" s="1300"/>
      <c r="W12" s="1224"/>
      <c r="X12" s="583"/>
      <c r="Y12" s="583"/>
      <c r="Z12" s="867"/>
      <c r="AA12" s="173"/>
    </row>
    <row r="13" spans="1:29" ht="21" customHeight="1" thickBot="1">
      <c r="A13" s="1296"/>
      <c r="B13" s="1666" t="s">
        <v>1364</v>
      </c>
      <c r="C13" s="1667"/>
      <c r="D13" s="1537"/>
      <c r="E13" s="1530"/>
      <c r="F13" s="1530"/>
      <c r="G13" s="1530"/>
      <c r="H13" s="1530"/>
      <c r="I13" s="1530"/>
      <c r="J13" s="1531"/>
      <c r="K13" s="1668" t="s">
        <v>1365</v>
      </c>
      <c r="L13" s="1668"/>
      <c r="M13" s="1668"/>
      <c r="N13" s="1311"/>
      <c r="O13" s="1312"/>
      <c r="P13" s="1312"/>
      <c r="Q13" s="1312"/>
      <c r="R13" s="1312"/>
      <c r="S13" s="1312"/>
      <c r="T13" s="1312"/>
      <c r="U13" s="1312"/>
      <c r="V13" s="1312"/>
      <c r="W13" s="1313"/>
      <c r="X13" s="583"/>
      <c r="Y13" s="583" t="str">
        <f>IF(AND(L9="○",D13=""),"×","○")</f>
        <v>○</v>
      </c>
      <c r="Z13" s="867"/>
      <c r="AA13" s="173"/>
    </row>
    <row r="14" spans="1:29" ht="21.75" customHeight="1">
      <c r="A14" s="1367">
        <v>2</v>
      </c>
      <c r="B14" s="1683" t="s">
        <v>1711</v>
      </c>
      <c r="C14" s="1684"/>
      <c r="D14" s="1684"/>
      <c r="E14" s="1684"/>
      <c r="F14" s="1684"/>
      <c r="G14" s="1684"/>
      <c r="H14" s="1684"/>
      <c r="I14" s="1684"/>
      <c r="J14" s="1684"/>
      <c r="K14" s="1684"/>
      <c r="L14" s="1685"/>
      <c r="M14" s="1694" t="s">
        <v>2048</v>
      </c>
      <c r="N14" s="1695"/>
      <c r="O14" s="1695"/>
      <c r="P14" s="1695"/>
      <c r="Q14" s="1695"/>
      <c r="R14" s="1695"/>
      <c r="S14" s="1695"/>
      <c r="T14" s="1695"/>
      <c r="U14" s="1695"/>
      <c r="V14" s="1695"/>
      <c r="W14" s="1696"/>
      <c r="X14" s="583"/>
      <c r="Y14" s="581" t="str">
        <f>IF(M14="","×","○")</f>
        <v>○</v>
      </c>
      <c r="Z14" s="867"/>
      <c r="AA14" s="173"/>
    </row>
    <row r="15" spans="1:29" ht="15" customHeight="1" thickBot="1">
      <c r="A15" s="1295"/>
      <c r="B15" s="868" t="s">
        <v>1704</v>
      </c>
      <c r="C15" s="869"/>
      <c r="D15" s="869"/>
      <c r="E15" s="869"/>
      <c r="F15" s="869"/>
      <c r="G15" s="869"/>
      <c r="H15" s="869"/>
      <c r="I15" s="869"/>
      <c r="J15" s="869"/>
      <c r="K15" s="869"/>
      <c r="L15" s="869"/>
      <c r="M15" s="869"/>
      <c r="N15" s="869"/>
      <c r="O15" s="869"/>
      <c r="P15" s="869"/>
      <c r="Q15" s="869"/>
      <c r="R15" s="869"/>
      <c r="S15" s="869"/>
      <c r="T15" s="869"/>
      <c r="U15" s="869"/>
      <c r="V15" s="869"/>
      <c r="W15" s="874"/>
      <c r="X15" s="583"/>
      <c r="Y15" s="583"/>
      <c r="Z15" s="867"/>
      <c r="AA15" s="173"/>
    </row>
    <row r="16" spans="1:29" s="875" customFormat="1" ht="21" customHeight="1" thickBot="1">
      <c r="A16" s="1295"/>
      <c r="B16" s="1110" t="s">
        <v>1705</v>
      </c>
      <c r="C16" s="1045"/>
      <c r="D16" s="871"/>
      <c r="E16" s="1681" t="s">
        <v>1706</v>
      </c>
      <c r="F16" s="1681"/>
      <c r="G16" s="1682"/>
      <c r="H16" s="1674"/>
      <c r="I16" s="1675"/>
      <c r="J16" s="1671" t="s">
        <v>1707</v>
      </c>
      <c r="K16" s="1673"/>
      <c r="L16" s="1674"/>
      <c r="M16" s="1675"/>
      <c r="N16" s="1671" t="s">
        <v>1708</v>
      </c>
      <c r="O16" s="1672"/>
      <c r="P16" s="1673"/>
      <c r="Q16" s="1674"/>
      <c r="R16" s="1675"/>
      <c r="S16" s="1671" t="s">
        <v>1709</v>
      </c>
      <c r="T16" s="1672"/>
      <c r="U16" s="1672"/>
      <c r="V16" s="1673"/>
      <c r="W16" s="54"/>
      <c r="Y16" s="583" t="str">
        <f>IF(AND(M14="臨床試験専用の窓口がある",AND(H16="",L16="",Q16="",W16="")),"×","○")</f>
        <v>○</v>
      </c>
      <c r="Z16" s="876"/>
      <c r="AA16" s="881"/>
      <c r="AC16" s="877"/>
    </row>
    <row r="17" spans="1:27" ht="21" customHeight="1" thickBot="1">
      <c r="A17" s="1295"/>
      <c r="B17" s="1369" t="s">
        <v>1363</v>
      </c>
      <c r="C17" s="1369"/>
      <c r="D17" s="1370"/>
      <c r="E17" s="1371"/>
      <c r="F17" s="1371"/>
      <c r="G17" s="1371"/>
      <c r="H17" s="1371"/>
      <c r="I17" s="1371"/>
      <c r="J17" s="1371"/>
      <c r="K17" s="1371"/>
      <c r="L17" s="1371"/>
      <c r="M17" s="1371"/>
      <c r="N17" s="1371"/>
      <c r="O17" s="1371"/>
      <c r="P17" s="1371"/>
      <c r="Q17" s="1371"/>
      <c r="R17" s="1371"/>
      <c r="S17" s="1371"/>
      <c r="T17" s="1371"/>
      <c r="U17" s="1371"/>
      <c r="V17" s="1371"/>
      <c r="W17" s="1375"/>
      <c r="Y17" s="583" t="str">
        <f>IF(AND(H16="○",D17=""),"×","○")</f>
        <v>○</v>
      </c>
      <c r="Z17" s="867"/>
      <c r="AA17" s="173"/>
    </row>
    <row r="18" spans="1:27" ht="53.25" customHeight="1" thickBot="1">
      <c r="A18" s="1295"/>
      <c r="B18" s="1669" t="s">
        <v>1710</v>
      </c>
      <c r="C18" s="872" t="s">
        <v>1359</v>
      </c>
      <c r="D18" s="1223"/>
      <c r="E18" s="1300"/>
      <c r="F18" s="1300"/>
      <c r="G18" s="1300"/>
      <c r="H18" s="1300"/>
      <c r="I18" s="1300"/>
      <c r="J18" s="1300"/>
      <c r="K18" s="1300"/>
      <c r="L18" s="1300"/>
      <c r="M18" s="1300"/>
      <c r="N18" s="1300"/>
      <c r="O18" s="1300"/>
      <c r="P18" s="1300"/>
      <c r="Q18" s="1300"/>
      <c r="R18" s="1300"/>
      <c r="S18" s="1300"/>
      <c r="T18" s="1300"/>
      <c r="U18" s="1300"/>
      <c r="V18" s="1300"/>
      <c r="W18" s="1224"/>
      <c r="Y18" s="583"/>
      <c r="Z18" s="867"/>
      <c r="AA18" s="173"/>
    </row>
    <row r="19" spans="1:27" ht="21" customHeight="1" thickBot="1">
      <c r="A19" s="1295"/>
      <c r="B19" s="1670"/>
      <c r="C19" s="873" t="s">
        <v>1384</v>
      </c>
      <c r="D19" s="1223"/>
      <c r="E19" s="1300"/>
      <c r="F19" s="1300"/>
      <c r="G19" s="1300"/>
      <c r="H19" s="1300"/>
      <c r="I19" s="1300"/>
      <c r="J19" s="1300"/>
      <c r="K19" s="1300"/>
      <c r="L19" s="1300"/>
      <c r="M19" s="1300"/>
      <c r="N19" s="1300"/>
      <c r="O19" s="1300"/>
      <c r="P19" s="1300"/>
      <c r="Q19" s="1300"/>
      <c r="R19" s="1300"/>
      <c r="S19" s="1300"/>
      <c r="T19" s="1300"/>
      <c r="U19" s="1300"/>
      <c r="V19" s="1300"/>
      <c r="W19" s="1224"/>
      <c r="Z19" s="867"/>
      <c r="AA19" s="173"/>
    </row>
    <row r="20" spans="1:27" ht="30" customHeight="1" thickBot="1">
      <c r="A20" s="1296"/>
      <c r="B20" s="1666" t="s">
        <v>1364</v>
      </c>
      <c r="C20" s="1667"/>
      <c r="D20" s="1537"/>
      <c r="E20" s="1530"/>
      <c r="F20" s="1530"/>
      <c r="G20" s="1530"/>
      <c r="H20" s="1530"/>
      <c r="I20" s="1530"/>
      <c r="J20" s="1531"/>
      <c r="K20" s="1668" t="s">
        <v>1365</v>
      </c>
      <c r="L20" s="1668"/>
      <c r="M20" s="1668"/>
      <c r="N20" s="1311"/>
      <c r="O20" s="1312"/>
      <c r="P20" s="1312"/>
      <c r="Q20" s="1312"/>
      <c r="R20" s="1312"/>
      <c r="S20" s="1312"/>
      <c r="T20" s="1312"/>
      <c r="U20" s="1312"/>
      <c r="V20" s="1312"/>
      <c r="W20" s="1313"/>
      <c r="Y20" s="583" t="str">
        <f>IF(AND(L16="○",D20=""),"×","○")</f>
        <v>○</v>
      </c>
      <c r="Z20" s="867"/>
      <c r="AA20" s="173"/>
    </row>
    <row r="21" spans="1:27" ht="24" customHeight="1" thickBot="1">
      <c r="A21" s="866" t="s">
        <v>1712</v>
      </c>
      <c r="B21" s="878" t="s">
        <v>1713</v>
      </c>
      <c r="C21" s="878"/>
      <c r="D21" s="878"/>
      <c r="E21" s="878"/>
      <c r="F21" s="878"/>
      <c r="G21" s="878"/>
      <c r="H21" s="878"/>
      <c r="I21" s="878"/>
      <c r="J21" s="878"/>
      <c r="K21" s="878"/>
      <c r="L21" s="878"/>
      <c r="M21" s="878"/>
      <c r="N21" s="878"/>
      <c r="O21" s="878"/>
      <c r="P21" s="878"/>
      <c r="Q21" s="878"/>
      <c r="R21" s="878"/>
      <c r="S21" s="878"/>
      <c r="T21" s="878"/>
      <c r="U21" s="878"/>
      <c r="V21" s="878"/>
      <c r="W21" s="878"/>
      <c r="Z21" s="867"/>
      <c r="AA21" s="173"/>
    </row>
    <row r="22" spans="1:27" ht="20.25" customHeight="1" thickBot="1">
      <c r="A22" s="1367">
        <v>1</v>
      </c>
      <c r="B22" s="1428" t="s">
        <v>1714</v>
      </c>
      <c r="C22" s="1429"/>
      <c r="D22" s="1429"/>
      <c r="E22" s="1429"/>
      <c r="F22" s="1429"/>
      <c r="G22" s="1429"/>
      <c r="H22" s="1429"/>
      <c r="I22" s="1429"/>
      <c r="J22" s="1429"/>
      <c r="K22" s="1429"/>
      <c r="L22" s="1699"/>
      <c r="M22" s="1433" t="s">
        <v>2048</v>
      </c>
      <c r="N22" s="1676"/>
      <c r="O22" s="1676"/>
      <c r="P22" s="1676"/>
      <c r="Q22" s="1676"/>
      <c r="R22" s="1676"/>
      <c r="S22" s="1676"/>
      <c r="T22" s="1676"/>
      <c r="U22" s="1676"/>
      <c r="V22" s="1676"/>
      <c r="W22" s="1677"/>
      <c r="Y22" s="581" t="str">
        <f>IF(M22="","×","○")</f>
        <v>○</v>
      </c>
      <c r="Z22" s="867"/>
      <c r="AA22" s="173"/>
    </row>
    <row r="23" spans="1:27" ht="24" customHeight="1" thickBot="1">
      <c r="A23" s="1697"/>
      <c r="B23" s="868" t="s">
        <v>1715</v>
      </c>
      <c r="C23" s="869"/>
      <c r="D23" s="869"/>
      <c r="E23" s="869"/>
      <c r="F23" s="869"/>
      <c r="G23" s="869"/>
      <c r="H23" s="869"/>
      <c r="I23" s="869"/>
      <c r="J23" s="869"/>
      <c r="K23" s="869"/>
      <c r="L23" s="869"/>
      <c r="M23" s="584"/>
      <c r="N23" s="584"/>
      <c r="O23" s="584"/>
      <c r="P23" s="584"/>
      <c r="Q23" s="584"/>
      <c r="R23" s="584"/>
      <c r="S23" s="584"/>
      <c r="T23" s="584"/>
      <c r="U23" s="584"/>
      <c r="V23" s="584"/>
      <c r="W23" s="879"/>
      <c r="Z23" s="867"/>
      <c r="AA23" s="173"/>
    </row>
    <row r="24" spans="1:27" ht="24" customHeight="1" thickBot="1">
      <c r="A24" s="1697"/>
      <c r="B24" s="1110" t="s">
        <v>1705</v>
      </c>
      <c r="C24" s="1045"/>
      <c r="D24" s="871"/>
      <c r="E24" s="1681" t="s">
        <v>1706</v>
      </c>
      <c r="F24" s="1681"/>
      <c r="G24" s="1682"/>
      <c r="H24" s="1674"/>
      <c r="I24" s="1675"/>
      <c r="J24" s="1671" t="s">
        <v>1707</v>
      </c>
      <c r="K24" s="1673"/>
      <c r="L24" s="1674"/>
      <c r="M24" s="1675"/>
      <c r="N24" s="1671" t="s">
        <v>1708</v>
      </c>
      <c r="O24" s="1672"/>
      <c r="P24" s="1673"/>
      <c r="Q24" s="1674"/>
      <c r="R24" s="1675"/>
      <c r="S24" s="1671" t="s">
        <v>1709</v>
      </c>
      <c r="T24" s="1672"/>
      <c r="U24" s="1672"/>
      <c r="V24" s="1673"/>
      <c r="W24" s="54"/>
      <c r="Y24" s="583" t="str">
        <f>IF(AND(M22="治験専用の窓口がある",AND(H24="",L24="",Q24="",W24="")),"×","○")</f>
        <v>○</v>
      </c>
      <c r="Z24" s="867"/>
      <c r="AA24" s="173"/>
    </row>
    <row r="25" spans="1:27" ht="24" customHeight="1" thickBot="1">
      <c r="A25" s="1697"/>
      <c r="B25" s="1369" t="s">
        <v>1363</v>
      </c>
      <c r="C25" s="1369"/>
      <c r="D25" s="1370"/>
      <c r="E25" s="1371"/>
      <c r="F25" s="1371"/>
      <c r="G25" s="1371"/>
      <c r="H25" s="1371"/>
      <c r="I25" s="1371"/>
      <c r="J25" s="1371"/>
      <c r="K25" s="1371"/>
      <c r="L25" s="1371"/>
      <c r="M25" s="1371"/>
      <c r="N25" s="1371"/>
      <c r="O25" s="1371"/>
      <c r="P25" s="1371"/>
      <c r="Q25" s="1371"/>
      <c r="R25" s="1371"/>
      <c r="S25" s="1371"/>
      <c r="T25" s="1371"/>
      <c r="U25" s="1371"/>
      <c r="V25" s="1371"/>
      <c r="W25" s="1375"/>
      <c r="Y25" s="583" t="str">
        <f>IF(AND(H24="○",D25=""),"×","○")</f>
        <v>○</v>
      </c>
      <c r="Z25" s="867"/>
      <c r="AA25" s="173"/>
    </row>
    <row r="26" spans="1:27" ht="54" customHeight="1" thickBot="1">
      <c r="A26" s="1697"/>
      <c r="B26" s="1669" t="s">
        <v>1710</v>
      </c>
      <c r="C26" s="872" t="s">
        <v>1359</v>
      </c>
      <c r="D26" s="1223"/>
      <c r="E26" s="1300"/>
      <c r="F26" s="1300"/>
      <c r="G26" s="1300"/>
      <c r="H26" s="1300"/>
      <c r="I26" s="1300"/>
      <c r="J26" s="1300"/>
      <c r="K26" s="1300"/>
      <c r="L26" s="1300"/>
      <c r="M26" s="1300"/>
      <c r="N26" s="1300"/>
      <c r="O26" s="1300"/>
      <c r="P26" s="1300"/>
      <c r="Q26" s="1300"/>
      <c r="R26" s="1300"/>
      <c r="S26" s="1300"/>
      <c r="T26" s="1300"/>
      <c r="U26" s="1300"/>
      <c r="V26" s="1300"/>
      <c r="W26" s="1224"/>
      <c r="Z26" s="867"/>
      <c r="AA26" s="173"/>
    </row>
    <row r="27" spans="1:27" ht="24" customHeight="1" thickBot="1">
      <c r="A27" s="1697"/>
      <c r="B27" s="1670"/>
      <c r="C27" s="873" t="s">
        <v>1384</v>
      </c>
      <c r="D27" s="1223"/>
      <c r="E27" s="1300"/>
      <c r="F27" s="1300"/>
      <c r="G27" s="1300"/>
      <c r="H27" s="1300"/>
      <c r="I27" s="1300"/>
      <c r="J27" s="1300"/>
      <c r="K27" s="1300"/>
      <c r="L27" s="1300"/>
      <c r="M27" s="1300"/>
      <c r="N27" s="1300"/>
      <c r="O27" s="1300"/>
      <c r="P27" s="1300"/>
      <c r="Q27" s="1300"/>
      <c r="R27" s="1300"/>
      <c r="S27" s="1300"/>
      <c r="T27" s="1300"/>
      <c r="U27" s="1300"/>
      <c r="V27" s="1300"/>
      <c r="W27" s="1224"/>
      <c r="Z27" s="867"/>
      <c r="AA27" s="173"/>
    </row>
    <row r="28" spans="1:27" ht="24" customHeight="1" thickBot="1">
      <c r="A28" s="1698"/>
      <c r="B28" s="1666" t="s">
        <v>1364</v>
      </c>
      <c r="C28" s="1667"/>
      <c r="D28" s="1537"/>
      <c r="E28" s="1530"/>
      <c r="F28" s="1530"/>
      <c r="G28" s="1530"/>
      <c r="H28" s="1530"/>
      <c r="I28" s="1530"/>
      <c r="J28" s="1531"/>
      <c r="K28" s="1668" t="s">
        <v>1365</v>
      </c>
      <c r="L28" s="1668"/>
      <c r="M28" s="1668"/>
      <c r="N28" s="1311"/>
      <c r="O28" s="1312"/>
      <c r="P28" s="1312"/>
      <c r="Q28" s="1312"/>
      <c r="R28" s="1312"/>
      <c r="S28" s="1312"/>
      <c r="T28" s="1312"/>
      <c r="U28" s="1312"/>
      <c r="V28" s="1312"/>
      <c r="W28" s="1313"/>
      <c r="Y28" s="583" t="str">
        <f>IF(AND(L24="○",D28=""),"×","○")</f>
        <v>○</v>
      </c>
      <c r="Z28" s="867"/>
      <c r="AA28" s="173"/>
    </row>
    <row r="29" spans="1:27" ht="21" customHeight="1" thickBot="1">
      <c r="A29" s="1367">
        <v>2</v>
      </c>
      <c r="B29" s="1683" t="s">
        <v>1716</v>
      </c>
      <c r="C29" s="1684"/>
      <c r="D29" s="1684"/>
      <c r="E29" s="1684"/>
      <c r="F29" s="1684"/>
      <c r="G29" s="1684"/>
      <c r="H29" s="1684"/>
      <c r="I29" s="1684"/>
      <c r="J29" s="1684"/>
      <c r="K29" s="1684"/>
      <c r="L29" s="1700"/>
      <c r="M29" s="1433" t="s">
        <v>2048</v>
      </c>
      <c r="N29" s="1676"/>
      <c r="O29" s="1676"/>
      <c r="P29" s="1676"/>
      <c r="Q29" s="1676"/>
      <c r="R29" s="1676"/>
      <c r="S29" s="1676"/>
      <c r="T29" s="1676"/>
      <c r="U29" s="1676"/>
      <c r="V29" s="1676"/>
      <c r="W29" s="1677"/>
      <c r="Y29" s="581" t="str">
        <f>IF(M29="","×","○")</f>
        <v>○</v>
      </c>
      <c r="Z29" s="867"/>
      <c r="AA29" s="173"/>
    </row>
    <row r="30" spans="1:27" ht="24" customHeight="1" thickBot="1">
      <c r="A30" s="1295"/>
      <c r="B30" s="868" t="s">
        <v>1715</v>
      </c>
      <c r="C30" s="869"/>
      <c r="D30" s="869"/>
      <c r="E30" s="869"/>
      <c r="F30" s="869"/>
      <c r="G30" s="869"/>
      <c r="H30" s="869"/>
      <c r="I30" s="869"/>
      <c r="J30" s="869"/>
      <c r="K30" s="869"/>
      <c r="L30" s="869"/>
      <c r="M30" s="584"/>
      <c r="N30" s="584"/>
      <c r="O30" s="584"/>
      <c r="P30" s="584"/>
      <c r="Q30" s="584"/>
      <c r="R30" s="584"/>
      <c r="S30" s="584"/>
      <c r="T30" s="584"/>
      <c r="U30" s="584"/>
      <c r="V30" s="584"/>
      <c r="W30" s="879"/>
      <c r="Z30" s="867"/>
      <c r="AA30" s="173"/>
    </row>
    <row r="31" spans="1:27" ht="24" customHeight="1" thickBot="1">
      <c r="A31" s="1295"/>
      <c r="B31" s="1110" t="s">
        <v>1705</v>
      </c>
      <c r="C31" s="1045"/>
      <c r="D31" s="871"/>
      <c r="E31" s="1681" t="s">
        <v>1706</v>
      </c>
      <c r="F31" s="1681"/>
      <c r="G31" s="1682"/>
      <c r="H31" s="1674"/>
      <c r="I31" s="1675"/>
      <c r="J31" s="1671" t="s">
        <v>1707</v>
      </c>
      <c r="K31" s="1673"/>
      <c r="L31" s="1674"/>
      <c r="M31" s="1675"/>
      <c r="N31" s="1671" t="s">
        <v>1708</v>
      </c>
      <c r="O31" s="1672"/>
      <c r="P31" s="1673"/>
      <c r="Q31" s="1674"/>
      <c r="R31" s="1675"/>
      <c r="S31" s="1671" t="s">
        <v>1709</v>
      </c>
      <c r="T31" s="1672"/>
      <c r="U31" s="1672"/>
      <c r="V31" s="1673"/>
      <c r="W31" s="54"/>
      <c r="Y31" s="583" t="str">
        <f>IF(AND(M29="治験専用の窓口がある",AND(H31="",L31="",Q31="",W31="")),"×","○")</f>
        <v>○</v>
      </c>
      <c r="Z31" s="867"/>
      <c r="AA31" s="173"/>
    </row>
    <row r="32" spans="1:27" ht="24" customHeight="1" thickBot="1">
      <c r="A32" s="1295"/>
      <c r="B32" s="1369" t="s">
        <v>1363</v>
      </c>
      <c r="C32" s="1369"/>
      <c r="D32" s="1370"/>
      <c r="E32" s="1371"/>
      <c r="F32" s="1371"/>
      <c r="G32" s="1371"/>
      <c r="H32" s="1371"/>
      <c r="I32" s="1371"/>
      <c r="J32" s="1371"/>
      <c r="K32" s="1371"/>
      <c r="L32" s="1371"/>
      <c r="M32" s="1371"/>
      <c r="N32" s="1371"/>
      <c r="O32" s="1371"/>
      <c r="P32" s="1371"/>
      <c r="Q32" s="1371"/>
      <c r="R32" s="1371"/>
      <c r="S32" s="1371"/>
      <c r="T32" s="1371"/>
      <c r="U32" s="1371"/>
      <c r="V32" s="1371"/>
      <c r="W32" s="1375"/>
      <c r="Y32" s="583" t="str">
        <f>IF(AND(H31="○",D32=""),"×","○")</f>
        <v>○</v>
      </c>
      <c r="Z32" s="867"/>
      <c r="AA32" s="173"/>
    </row>
    <row r="33" spans="1:27" ht="53.25" customHeight="1" thickBot="1">
      <c r="A33" s="1295"/>
      <c r="B33" s="1669" t="s">
        <v>1710</v>
      </c>
      <c r="C33" s="872" t="s">
        <v>1359</v>
      </c>
      <c r="D33" s="1223"/>
      <c r="E33" s="1300"/>
      <c r="F33" s="1300"/>
      <c r="G33" s="1300"/>
      <c r="H33" s="1300"/>
      <c r="I33" s="1300"/>
      <c r="J33" s="1300"/>
      <c r="K33" s="1300"/>
      <c r="L33" s="1300"/>
      <c r="M33" s="1300"/>
      <c r="N33" s="1300"/>
      <c r="O33" s="1300"/>
      <c r="P33" s="1300"/>
      <c r="Q33" s="1300"/>
      <c r="R33" s="1300"/>
      <c r="S33" s="1300"/>
      <c r="T33" s="1300"/>
      <c r="U33" s="1300"/>
      <c r="V33" s="1300"/>
      <c r="W33" s="1224"/>
      <c r="Z33" s="867"/>
      <c r="AA33" s="173"/>
    </row>
    <row r="34" spans="1:27" ht="24" customHeight="1" thickBot="1">
      <c r="A34" s="1295"/>
      <c r="B34" s="1670"/>
      <c r="C34" s="873" t="s">
        <v>1384</v>
      </c>
      <c r="D34" s="1223"/>
      <c r="E34" s="1300"/>
      <c r="F34" s="1300"/>
      <c r="G34" s="1300"/>
      <c r="H34" s="1300"/>
      <c r="I34" s="1300"/>
      <c r="J34" s="1300"/>
      <c r="K34" s="1300"/>
      <c r="L34" s="1300"/>
      <c r="M34" s="1300"/>
      <c r="N34" s="1300"/>
      <c r="O34" s="1300"/>
      <c r="P34" s="1300"/>
      <c r="Q34" s="1300"/>
      <c r="R34" s="1300"/>
      <c r="S34" s="1300"/>
      <c r="T34" s="1300"/>
      <c r="U34" s="1300"/>
      <c r="V34" s="1300"/>
      <c r="W34" s="1224"/>
      <c r="Z34" s="867"/>
      <c r="AA34" s="173"/>
    </row>
    <row r="35" spans="1:27" ht="24" customHeight="1" thickBot="1">
      <c r="A35" s="1295"/>
      <c r="B35" s="1666" t="s">
        <v>1364</v>
      </c>
      <c r="C35" s="1667"/>
      <c r="D35" s="1537"/>
      <c r="E35" s="1530"/>
      <c r="F35" s="1530"/>
      <c r="G35" s="1530"/>
      <c r="H35" s="1530"/>
      <c r="I35" s="1530"/>
      <c r="J35" s="1531"/>
      <c r="K35" s="1668" t="s">
        <v>1365</v>
      </c>
      <c r="L35" s="1668"/>
      <c r="M35" s="1668"/>
      <c r="N35" s="1311"/>
      <c r="O35" s="1312"/>
      <c r="P35" s="1312"/>
      <c r="Q35" s="1312"/>
      <c r="R35" s="1312"/>
      <c r="S35" s="1312"/>
      <c r="T35" s="1312"/>
      <c r="U35" s="1312"/>
      <c r="V35" s="1312"/>
      <c r="W35" s="1313"/>
      <c r="Y35" s="583" t="str">
        <f>IF(AND(L31="○",D35=""),"×","○")</f>
        <v>○</v>
      </c>
      <c r="Z35" s="867"/>
      <c r="AA35" s="17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80" t="s">
        <v>1422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10"/>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pageSetUpPr fitToPage="1"/>
  </sheetPr>
  <dimension ref="A1:AA90"/>
  <sheetViews>
    <sheetView showGridLines="0" view="pageBreakPreview" zoomScaleNormal="100" zoomScaleSheetLayoutView="100" workbookViewId="0">
      <selection activeCell="J24" sqref="J24:K24"/>
    </sheetView>
  </sheetViews>
  <sheetFormatPr defaultColWidth="9" defaultRowHeight="12"/>
  <cols>
    <col min="1" max="1" width="4.125" style="581" customWidth="1"/>
    <col min="2" max="2" width="15.625" style="581" customWidth="1"/>
    <col min="3" max="3" width="7.625" style="581" customWidth="1"/>
    <col min="4" max="4" width="25.625" style="581" customWidth="1"/>
    <col min="5" max="13" width="2.625" style="581" customWidth="1"/>
    <col min="14" max="14" width="1.625" style="581" customWidth="1"/>
    <col min="15" max="22" width="2.625" style="581" customWidth="1"/>
    <col min="23" max="23" width="4.625" style="581" customWidth="1"/>
    <col min="24" max="24" width="2.625" style="581" customWidth="1"/>
    <col min="25" max="25" width="6" style="581" hidden="1" customWidth="1"/>
    <col min="26" max="26" width="2.25" style="61" hidden="1" customWidth="1"/>
    <col min="27" max="27" width="80.625" style="120" customWidth="1"/>
    <col min="28" max="16384" width="9" style="581"/>
  </cols>
  <sheetData>
    <row r="1" spans="1:27" ht="20.25" customHeight="1" thickBot="1">
      <c r="A1" s="1247" t="s">
        <v>1717</v>
      </c>
      <c r="B1" s="1247"/>
      <c r="C1" s="1247"/>
      <c r="D1" s="1247"/>
      <c r="E1" s="1247"/>
      <c r="F1" s="1247"/>
      <c r="G1" s="1247"/>
      <c r="H1" s="1247"/>
      <c r="I1" s="1247"/>
      <c r="J1" s="1247"/>
      <c r="K1" s="1247"/>
      <c r="L1" s="1247"/>
      <c r="M1" s="1247"/>
      <c r="N1" s="1247"/>
      <c r="O1" s="1247"/>
      <c r="P1" s="1247"/>
      <c r="Q1" s="1247"/>
      <c r="R1" s="1247"/>
      <c r="S1" s="1247"/>
      <c r="T1" s="1247"/>
      <c r="U1" s="1247"/>
      <c r="V1" s="1247"/>
      <c r="W1" s="1247"/>
      <c r="Z1" s="97"/>
    </row>
    <row r="2" spans="1:27" ht="24.95" customHeight="1" thickBot="1">
      <c r="A2" s="1338" t="s">
        <v>1348</v>
      </c>
      <c r="B2" s="1338"/>
      <c r="C2" s="1338"/>
      <c r="D2" s="1338"/>
      <c r="E2" s="1338"/>
      <c r="F2" s="1338"/>
      <c r="G2" s="1338"/>
      <c r="H2" s="1338"/>
      <c r="I2" s="1338"/>
      <c r="J2" s="1338"/>
      <c r="K2" s="1338"/>
      <c r="L2" s="1338"/>
      <c r="M2" s="1338"/>
      <c r="N2" s="1338"/>
      <c r="O2" s="1338"/>
      <c r="P2" s="1338"/>
      <c r="Q2" s="1338"/>
      <c r="R2" s="1338"/>
      <c r="S2" s="1338"/>
      <c r="T2" s="1718"/>
      <c r="U2" s="1715" t="str">
        <f>IF(COUNTIF(Y14:Y24,"×")&gt;=1,"未入力あり","入力済")</f>
        <v>入力済</v>
      </c>
      <c r="V2" s="1716"/>
      <c r="W2" s="1717"/>
      <c r="X2" s="1595"/>
      <c r="Y2" s="817"/>
      <c r="Z2" s="97"/>
    </row>
    <row r="3" spans="1:27" ht="5.0999999999999996" customHeight="1">
      <c r="A3" s="577"/>
      <c r="B3" s="577"/>
      <c r="C3" s="577"/>
      <c r="D3" s="577"/>
      <c r="E3" s="577"/>
      <c r="F3" s="577"/>
      <c r="G3" s="577"/>
      <c r="H3" s="577"/>
      <c r="I3" s="577"/>
      <c r="J3" s="577"/>
      <c r="K3" s="577"/>
      <c r="L3" s="577"/>
      <c r="M3" s="577"/>
      <c r="N3" s="577"/>
      <c r="O3" s="577"/>
      <c r="P3" s="577"/>
      <c r="Q3" s="577"/>
      <c r="R3" s="577"/>
      <c r="S3" s="577"/>
      <c r="T3" s="577"/>
      <c r="U3" s="577"/>
      <c r="V3" s="577"/>
      <c r="W3" s="577"/>
      <c r="X3" s="1595"/>
      <c r="Y3" s="817"/>
    </row>
    <row r="4" spans="1:27" ht="20.100000000000001" customHeight="1">
      <c r="A4" s="577"/>
      <c r="B4" s="577"/>
      <c r="C4" s="577"/>
      <c r="D4" s="863" t="s">
        <v>1222</v>
      </c>
      <c r="E4" s="1686" t="str">
        <f>表紙!E2</f>
        <v>市立豊中病院</v>
      </c>
      <c r="F4" s="1687"/>
      <c r="G4" s="1687"/>
      <c r="H4" s="1687"/>
      <c r="I4" s="1687"/>
      <c r="J4" s="1687"/>
      <c r="K4" s="1687"/>
      <c r="L4" s="1687"/>
      <c r="M4" s="1687"/>
      <c r="N4" s="1687"/>
      <c r="O4" s="1687"/>
      <c r="P4" s="1687"/>
      <c r="Q4" s="1687"/>
      <c r="R4" s="1687"/>
      <c r="S4" s="1687"/>
      <c r="T4" s="1687"/>
      <c r="U4" s="1687"/>
      <c r="V4" s="1687"/>
      <c r="W4" s="1688"/>
      <c r="X4" s="1595"/>
      <c r="Y4" s="817"/>
      <c r="Z4" s="120"/>
      <c r="AA4" s="188" t="s">
        <v>268</v>
      </c>
    </row>
    <row r="5" spans="1:27" customFormat="1" ht="20.100000000000001" customHeight="1">
      <c r="A5" s="59"/>
      <c r="B5" s="59"/>
      <c r="C5" s="61"/>
      <c r="D5" s="61"/>
      <c r="E5" s="739"/>
      <c r="F5" s="739"/>
      <c r="G5" s="739"/>
      <c r="H5" s="739"/>
      <c r="I5" s="739"/>
      <c r="J5" s="739"/>
      <c r="K5" s="739"/>
      <c r="L5" s="739"/>
      <c r="M5" s="739"/>
      <c r="N5" s="739"/>
      <c r="O5" s="739"/>
      <c r="P5" s="739"/>
      <c r="Q5" s="739"/>
      <c r="R5" s="739"/>
      <c r="S5" s="739"/>
      <c r="T5" s="739"/>
      <c r="U5" s="739"/>
      <c r="V5" s="739"/>
      <c r="W5" s="882" t="str">
        <f>+'事務局使用（発出時は非表示にすること）'!B3</f>
        <v>令和６年９月１日時点</v>
      </c>
      <c r="X5" s="59"/>
      <c r="Y5" s="59"/>
      <c r="Z5" s="59"/>
      <c r="AA5" s="87"/>
    </row>
    <row r="6" spans="1:27" customFormat="1" ht="20.100000000000001" customHeight="1">
      <c r="A6" s="883" t="s">
        <v>1718</v>
      </c>
      <c r="B6" s="884"/>
      <c r="C6" s="885"/>
      <c r="D6" s="885"/>
      <c r="E6" s="886"/>
      <c r="F6" s="886"/>
      <c r="G6" s="886"/>
      <c r="H6" s="886"/>
      <c r="I6" s="886"/>
      <c r="J6" s="886"/>
      <c r="K6" s="886"/>
      <c r="L6" s="886"/>
      <c r="M6" s="886"/>
      <c r="N6" s="886"/>
      <c r="O6" s="886"/>
      <c r="P6" s="886"/>
      <c r="Q6" s="886"/>
      <c r="R6" s="886"/>
      <c r="S6" s="886"/>
      <c r="T6" s="886"/>
      <c r="U6" s="886"/>
      <c r="V6" s="886"/>
      <c r="W6" s="887"/>
      <c r="X6" s="59"/>
      <c r="Y6" s="59"/>
      <c r="Z6" s="59"/>
      <c r="AA6" s="87"/>
    </row>
    <row r="7" spans="1:27" customFormat="1" ht="20.100000000000001" customHeight="1">
      <c r="A7" s="864"/>
      <c r="B7" s="61"/>
      <c r="C7" s="61"/>
      <c r="D7" s="61"/>
      <c r="E7" s="739"/>
      <c r="F7" s="739"/>
      <c r="G7" s="739"/>
      <c r="H7" s="739"/>
      <c r="I7" s="739"/>
      <c r="J7" s="739"/>
      <c r="K7" s="739"/>
      <c r="L7" s="739"/>
      <c r="M7" s="739"/>
      <c r="N7" s="739"/>
      <c r="O7" s="739"/>
      <c r="P7" s="739"/>
      <c r="Q7" s="739"/>
      <c r="R7" s="739"/>
      <c r="S7" s="739"/>
      <c r="T7" s="739"/>
      <c r="U7" s="739"/>
      <c r="V7" s="739"/>
      <c r="W7" s="888"/>
      <c r="X7" s="59"/>
      <c r="Y7" s="59"/>
      <c r="Z7" s="59"/>
      <c r="AA7" s="87"/>
    </row>
    <row r="8" spans="1:27" customFormat="1" ht="20.100000000000001" customHeight="1">
      <c r="A8" s="864" t="s">
        <v>1651</v>
      </c>
      <c r="B8" s="61" t="s">
        <v>1719</v>
      </c>
      <c r="C8" s="61"/>
      <c r="D8" s="61"/>
      <c r="E8" s="739"/>
      <c r="F8" s="739"/>
      <c r="G8" s="739"/>
      <c r="H8" s="739"/>
      <c r="I8" s="739"/>
      <c r="J8" s="739"/>
      <c r="K8" s="739"/>
      <c r="L8" s="739"/>
      <c r="M8" s="739"/>
      <c r="N8" s="739"/>
      <c r="O8" s="739"/>
      <c r="P8" s="739"/>
      <c r="Q8" s="739"/>
      <c r="R8" s="739"/>
      <c r="S8" s="739"/>
      <c r="T8" s="739"/>
      <c r="U8" s="739"/>
      <c r="V8" s="739"/>
      <c r="W8" s="888"/>
      <c r="X8" s="59"/>
      <c r="Y8" s="59"/>
      <c r="Z8" s="59"/>
      <c r="AA8" s="87"/>
    </row>
    <row r="9" spans="1:27" ht="22.15" customHeight="1">
      <c r="A9" s="864" t="s">
        <v>1701</v>
      </c>
      <c r="B9" s="1714" t="s">
        <v>1720</v>
      </c>
      <c r="C9" s="1714"/>
      <c r="D9" s="1714"/>
      <c r="E9" s="1714"/>
      <c r="F9" s="1714"/>
      <c r="G9" s="1714"/>
      <c r="H9" s="1714"/>
      <c r="I9" s="1714"/>
      <c r="J9" s="1714"/>
      <c r="K9" s="1714"/>
      <c r="L9" s="1714"/>
      <c r="M9" s="1714"/>
      <c r="N9" s="1714"/>
      <c r="O9" s="1714"/>
      <c r="P9" s="1714"/>
      <c r="Q9" s="1714"/>
      <c r="R9" s="1714"/>
      <c r="S9" s="1714"/>
      <c r="T9" s="1714"/>
      <c r="U9" s="1714"/>
      <c r="V9" s="1714"/>
      <c r="W9" s="1714"/>
      <c r="X9" s="61"/>
      <c r="Y9" s="61"/>
      <c r="AA9" s="87"/>
    </row>
    <row r="10" spans="1:27">
      <c r="A10" s="581" t="s">
        <v>1721</v>
      </c>
      <c r="B10" s="120"/>
      <c r="C10" s="120"/>
      <c r="D10" s="120"/>
      <c r="E10" s="120"/>
      <c r="F10" s="120"/>
      <c r="G10" s="120"/>
      <c r="H10" s="120"/>
      <c r="I10" s="120"/>
      <c r="J10" s="120"/>
      <c r="K10" s="120"/>
      <c r="L10" s="120"/>
      <c r="M10" s="120"/>
      <c r="N10" s="120"/>
      <c r="O10" s="120"/>
      <c r="P10" s="120"/>
      <c r="Q10" s="120"/>
      <c r="R10" s="120"/>
      <c r="S10" s="120"/>
      <c r="T10" s="120"/>
      <c r="U10" s="120"/>
      <c r="V10" s="120"/>
      <c r="W10" s="120"/>
      <c r="X10" s="61"/>
      <c r="Y10" s="61"/>
      <c r="AA10" s="87"/>
    </row>
    <row r="11" spans="1:27">
      <c r="A11" s="581" t="s">
        <v>1722</v>
      </c>
      <c r="B11" s="120"/>
      <c r="C11" s="120"/>
      <c r="D11" s="120"/>
      <c r="E11" s="120"/>
      <c r="F11" s="120"/>
      <c r="G11" s="120"/>
      <c r="H11" s="120"/>
      <c r="I11" s="120"/>
      <c r="J11" s="120"/>
      <c r="K11" s="120"/>
      <c r="L11" s="120"/>
      <c r="M11" s="120"/>
      <c r="N11" s="120"/>
      <c r="O11" s="120"/>
      <c r="P11" s="120"/>
      <c r="Q11" s="120"/>
      <c r="R11" s="120"/>
      <c r="S11" s="120"/>
      <c r="T11" s="120"/>
      <c r="U11" s="120"/>
      <c r="V11" s="120"/>
      <c r="W11" s="120"/>
      <c r="X11" s="61"/>
      <c r="Y11" s="61"/>
      <c r="AA11" s="87"/>
    </row>
    <row r="12" spans="1:27">
      <c r="A12" s="581" t="s">
        <v>1723</v>
      </c>
      <c r="B12" s="120"/>
      <c r="C12" s="120"/>
      <c r="D12" s="120"/>
      <c r="E12" s="120"/>
      <c r="F12" s="120"/>
      <c r="G12" s="120"/>
      <c r="H12" s="120"/>
      <c r="I12" s="120"/>
      <c r="J12" s="120"/>
      <c r="K12" s="120"/>
      <c r="L12" s="120"/>
      <c r="M12" s="120"/>
      <c r="N12" s="120"/>
      <c r="O12" s="120"/>
      <c r="P12" s="120"/>
      <c r="Q12" s="120"/>
      <c r="R12" s="120"/>
      <c r="S12" s="120"/>
      <c r="T12" s="120"/>
      <c r="U12" s="120"/>
      <c r="V12" s="120"/>
      <c r="W12" s="120"/>
      <c r="X12" s="61"/>
      <c r="Y12" s="61"/>
      <c r="AA12" s="87"/>
    </row>
    <row r="13" spans="1:27" ht="21" customHeight="1" thickBot="1">
      <c r="A13" s="1110"/>
      <c r="B13" s="889" t="s">
        <v>1724</v>
      </c>
      <c r="C13" s="890"/>
      <c r="D13" s="891"/>
      <c r="E13" s="891"/>
      <c r="F13" s="891"/>
      <c r="G13" s="891"/>
      <c r="H13" s="891"/>
      <c r="I13" s="891"/>
      <c r="J13" s="891"/>
      <c r="K13" s="891"/>
      <c r="L13" s="891"/>
      <c r="M13" s="891"/>
      <c r="N13" s="891"/>
      <c r="O13" s="891"/>
      <c r="P13" s="891"/>
      <c r="Q13" s="891"/>
      <c r="R13" s="891"/>
      <c r="S13" s="891"/>
      <c r="T13" s="891"/>
      <c r="U13" s="891"/>
      <c r="V13" s="891"/>
      <c r="W13" s="892"/>
      <c r="X13" s="583"/>
      <c r="Y13" s="583"/>
      <c r="Z13" s="120"/>
      <c r="AA13" s="87"/>
    </row>
    <row r="14" spans="1:27" ht="21" customHeight="1" thickBot="1">
      <c r="A14" s="1367">
        <v>1</v>
      </c>
      <c r="B14" s="1713" t="s">
        <v>1725</v>
      </c>
      <c r="C14" s="1713"/>
      <c r="D14" s="1370" t="s">
        <v>2049</v>
      </c>
      <c r="E14" s="1371"/>
      <c r="F14" s="1371"/>
      <c r="G14" s="1371"/>
      <c r="H14" s="1371"/>
      <c r="I14" s="1371"/>
      <c r="J14" s="1371"/>
      <c r="K14" s="1371"/>
      <c r="L14" s="1371"/>
      <c r="M14" s="1371"/>
      <c r="N14" s="1371"/>
      <c r="O14" s="1371"/>
      <c r="P14" s="1371"/>
      <c r="Q14" s="1371"/>
      <c r="R14" s="1371"/>
      <c r="S14" s="1371"/>
      <c r="T14" s="1371"/>
      <c r="U14" s="1371"/>
      <c r="V14" s="1371"/>
      <c r="W14" s="1375"/>
      <c r="X14" s="583"/>
      <c r="Y14" s="581" t="str">
        <f>IF(D14="","×","○")</f>
        <v>○</v>
      </c>
      <c r="Z14" s="120"/>
      <c r="AA14" s="87"/>
    </row>
    <row r="15" spans="1:27" ht="21" customHeight="1" thickBot="1">
      <c r="A15" s="1708"/>
      <c r="B15" s="1368" t="s">
        <v>1726</v>
      </c>
      <c r="C15" s="1712"/>
      <c r="D15" s="1326" t="s">
        <v>2050</v>
      </c>
      <c r="E15" s="1327"/>
      <c r="F15" s="1327"/>
      <c r="G15" s="1327"/>
      <c r="H15" s="1327"/>
      <c r="I15" s="1327"/>
      <c r="J15" s="1327"/>
      <c r="K15" s="1327"/>
      <c r="L15" s="1327"/>
      <c r="M15" s="1327"/>
      <c r="N15" s="1327"/>
      <c r="O15" s="1327"/>
      <c r="P15" s="1327"/>
      <c r="Q15" s="1327"/>
      <c r="R15" s="1327"/>
      <c r="S15" s="1327"/>
      <c r="T15" s="1327"/>
      <c r="U15" s="1327"/>
      <c r="V15" s="1327"/>
      <c r="W15" s="1328"/>
      <c r="X15" s="583"/>
      <c r="Y15" s="581" t="str">
        <f>IF(D15="","×","○")</f>
        <v>○</v>
      </c>
      <c r="Z15" s="120"/>
      <c r="AA15" s="87"/>
    </row>
    <row r="16" spans="1:27" ht="21" customHeight="1" thickBot="1">
      <c r="A16" s="1709"/>
      <c r="B16" s="1666" t="s">
        <v>1364</v>
      </c>
      <c r="C16" s="1667"/>
      <c r="D16" s="1537" t="s">
        <v>1979</v>
      </c>
      <c r="E16" s="1530"/>
      <c r="F16" s="1530"/>
      <c r="G16" s="1530"/>
      <c r="H16" s="1530"/>
      <c r="I16" s="1530"/>
      <c r="J16" s="1531"/>
      <c r="K16" s="1668" t="s">
        <v>1365</v>
      </c>
      <c r="L16" s="1668"/>
      <c r="M16" s="1668"/>
      <c r="N16" s="1311"/>
      <c r="O16" s="1312"/>
      <c r="P16" s="1312"/>
      <c r="Q16" s="1312"/>
      <c r="R16" s="1312"/>
      <c r="S16" s="1312"/>
      <c r="T16" s="1312"/>
      <c r="U16" s="1312"/>
      <c r="V16" s="1312"/>
      <c r="W16" s="1313"/>
      <c r="X16" s="583"/>
      <c r="Y16" s="581" t="str">
        <f>IF(D16="","×","○")</f>
        <v>○</v>
      </c>
      <c r="Z16" s="120"/>
      <c r="AA16" s="87"/>
    </row>
    <row r="17" spans="1:27" ht="21" customHeight="1" thickBot="1">
      <c r="A17" s="1710">
        <v>2</v>
      </c>
      <c r="B17" s="1369" t="s">
        <v>1725</v>
      </c>
      <c r="C17" s="1369"/>
      <c r="D17" s="1370"/>
      <c r="E17" s="1371"/>
      <c r="F17" s="1371"/>
      <c r="G17" s="1371"/>
      <c r="H17" s="1371"/>
      <c r="I17" s="1371"/>
      <c r="J17" s="1371"/>
      <c r="K17" s="1371"/>
      <c r="L17" s="1371"/>
      <c r="M17" s="1371"/>
      <c r="N17" s="1371"/>
      <c r="O17" s="1371"/>
      <c r="P17" s="1371"/>
      <c r="Q17" s="1371"/>
      <c r="R17" s="1371"/>
      <c r="S17" s="1371"/>
      <c r="T17" s="1371"/>
      <c r="U17" s="1371"/>
      <c r="V17" s="1371"/>
      <c r="W17" s="1375"/>
      <c r="X17" s="583"/>
      <c r="Z17" s="120"/>
      <c r="AA17" s="87"/>
    </row>
    <row r="18" spans="1:27" ht="21" customHeight="1" thickBot="1">
      <c r="A18" s="1710"/>
      <c r="B18" s="1368" t="s">
        <v>1726</v>
      </c>
      <c r="C18" s="1712"/>
      <c r="D18" s="1326"/>
      <c r="E18" s="1327"/>
      <c r="F18" s="1327"/>
      <c r="G18" s="1327"/>
      <c r="H18" s="1327"/>
      <c r="I18" s="1327"/>
      <c r="J18" s="1327"/>
      <c r="K18" s="1327"/>
      <c r="L18" s="1327"/>
      <c r="M18" s="1327"/>
      <c r="N18" s="1327"/>
      <c r="O18" s="1327"/>
      <c r="P18" s="1327"/>
      <c r="Q18" s="1327"/>
      <c r="R18" s="1327"/>
      <c r="S18" s="1327"/>
      <c r="T18" s="1327"/>
      <c r="U18" s="1327"/>
      <c r="V18" s="1327"/>
      <c r="W18" s="1328"/>
      <c r="X18" s="583"/>
      <c r="Z18" s="120"/>
      <c r="AA18" s="87"/>
    </row>
    <row r="19" spans="1:27" ht="21" customHeight="1" thickBot="1">
      <c r="A19" s="1711"/>
      <c r="B19" s="1666" t="s">
        <v>1364</v>
      </c>
      <c r="C19" s="1667"/>
      <c r="D19" s="1537"/>
      <c r="E19" s="1530"/>
      <c r="F19" s="1530"/>
      <c r="G19" s="1530"/>
      <c r="H19" s="1530"/>
      <c r="I19" s="1530"/>
      <c r="J19" s="1531"/>
      <c r="K19" s="1668" t="s">
        <v>1365</v>
      </c>
      <c r="L19" s="1668"/>
      <c r="M19" s="1668"/>
      <c r="N19" s="1311"/>
      <c r="O19" s="1312"/>
      <c r="P19" s="1312"/>
      <c r="Q19" s="1312"/>
      <c r="R19" s="1312"/>
      <c r="S19" s="1312"/>
      <c r="T19" s="1312"/>
      <c r="U19" s="1312"/>
      <c r="V19" s="1312"/>
      <c r="W19" s="1313"/>
      <c r="X19" s="583"/>
      <c r="Z19" s="120"/>
      <c r="AA19" s="87"/>
    </row>
    <row r="20" spans="1:27" ht="5.0999999999999996" customHeight="1">
      <c r="AA20" s="87"/>
    </row>
    <row r="21" spans="1:27" ht="5.0999999999999996" customHeight="1">
      <c r="AA21" s="87"/>
    </row>
    <row r="22" spans="1:27" ht="18" customHeight="1">
      <c r="A22" s="864" t="s">
        <v>1727</v>
      </c>
      <c r="B22" s="581" t="s">
        <v>1728</v>
      </c>
      <c r="AA22" s="87"/>
    </row>
    <row r="23" spans="1:27" ht="18" customHeight="1" thickBot="1">
      <c r="A23" s="1701" t="s">
        <v>1728</v>
      </c>
      <c r="B23" s="1701"/>
      <c r="C23" s="1701"/>
      <c r="D23" s="1701"/>
      <c r="E23" s="1701"/>
      <c r="F23" s="1701"/>
      <c r="G23" s="1701"/>
      <c r="H23" s="1701"/>
      <c r="I23" s="1701"/>
      <c r="J23" s="1702"/>
      <c r="K23" s="1702"/>
      <c r="AA23" s="87"/>
    </row>
    <row r="24" spans="1:27" ht="25.5" customHeight="1" thickBot="1">
      <c r="A24" s="1703" t="s">
        <v>1729</v>
      </c>
      <c r="B24" s="1704"/>
      <c r="C24" s="1704"/>
      <c r="D24" s="1704"/>
      <c r="E24" s="1704"/>
      <c r="F24" s="1704"/>
      <c r="G24" s="1704"/>
      <c r="H24" s="1704"/>
      <c r="I24" s="1705"/>
      <c r="J24" s="1706" t="s">
        <v>1934</v>
      </c>
      <c r="K24" s="1707"/>
      <c r="Y24" s="581" t="str">
        <f>IF(J24="","×","○")</f>
        <v>○</v>
      </c>
      <c r="AA24" s="87"/>
    </row>
    <row r="25" spans="1:27" ht="18" customHeight="1">
      <c r="AA25" s="160"/>
    </row>
    <row r="26" spans="1:27" ht="18" customHeight="1"/>
    <row r="27" spans="1:27" ht="25.5" customHeight="1"/>
    <row r="28" spans="1:27" ht="30" customHeight="1"/>
    <row r="29" spans="1:27" ht="45" customHeight="1">
      <c r="Z29" s="191"/>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80" t="s">
        <v>1422</v>
      </c>
      <c r="Y90" s="880"/>
    </row>
  </sheetData>
  <sheetProtection selectLockedCells="1"/>
  <mergeCells count="27">
    <mergeCell ref="D15:W15"/>
    <mergeCell ref="B16:C16"/>
    <mergeCell ref="D16:J16"/>
    <mergeCell ref="K16:M16"/>
    <mergeCell ref="N16:W16"/>
    <mergeCell ref="A1:W1"/>
    <mergeCell ref="X2:X4"/>
    <mergeCell ref="E4:W4"/>
    <mergeCell ref="B9:W9"/>
    <mergeCell ref="U2:W2"/>
    <mergeCell ref="A2:T2"/>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s>
  <phoneticPr fontId="10"/>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90" zoomScaleNormal="100" zoomScaleSheetLayoutView="90" workbookViewId="0">
      <selection activeCell="I7" sqref="I7:M7"/>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9" style="9"/>
    <col min="16" max="16" width="0.875" style="9" customWidth="1"/>
    <col min="17" max="17" width="15" style="9" hidden="1" customWidth="1"/>
    <col min="18" max="18" width="2.25" style="61" hidden="1" customWidth="1"/>
    <col min="19" max="19" width="80.625" style="120" customWidth="1"/>
    <col min="20" max="16384" width="9" style="9"/>
  </cols>
  <sheetData>
    <row r="1" spans="1:19" ht="15.95" customHeight="1" thickBot="1">
      <c r="A1" s="1226" t="s">
        <v>1730</v>
      </c>
      <c r="B1" s="1226"/>
      <c r="C1" s="1226"/>
      <c r="D1" s="1226"/>
      <c r="E1" s="1226"/>
      <c r="F1" s="1226"/>
      <c r="G1" s="1226"/>
      <c r="H1" s="1226"/>
      <c r="I1" s="1226"/>
      <c r="J1" s="1226"/>
      <c r="K1" s="1226"/>
      <c r="L1" s="1226"/>
      <c r="M1" s="1226"/>
      <c r="N1" s="1226"/>
      <c r="O1" s="1226"/>
      <c r="P1" s="893"/>
      <c r="Q1" s="696"/>
      <c r="R1" s="97"/>
      <c r="S1" s="697"/>
    </row>
    <row r="2" spans="1:19" ht="24.95" customHeight="1" thickBot="1">
      <c r="A2" s="1338" t="s">
        <v>1348</v>
      </c>
      <c r="B2" s="1338"/>
      <c r="C2" s="1338"/>
      <c r="D2" s="1338"/>
      <c r="E2" s="1338"/>
      <c r="F2" s="1338"/>
      <c r="G2" s="1338"/>
      <c r="H2" s="1338"/>
      <c r="I2" s="1338"/>
      <c r="J2" s="1338"/>
      <c r="K2" s="1338"/>
      <c r="L2" s="1338"/>
      <c r="M2" s="1338"/>
      <c r="N2" s="1338"/>
      <c r="O2" s="894" t="str">
        <f>IF(COUNTIF(Q7:Q14,"×")&gt;=1,"未入力あり","入力済")</f>
        <v>入力済</v>
      </c>
      <c r="P2" s="1234"/>
      <c r="Q2" s="1234"/>
      <c r="R2" s="97"/>
    </row>
    <row r="3" spans="1:19" ht="5.0999999999999996" customHeight="1">
      <c r="A3" s="581"/>
      <c r="B3" s="581"/>
      <c r="C3" s="581"/>
      <c r="D3" s="581"/>
      <c r="E3" s="581"/>
      <c r="F3" s="581"/>
      <c r="G3" s="581"/>
      <c r="H3" s="581"/>
      <c r="I3" s="581"/>
      <c r="J3" s="581"/>
      <c r="K3" s="581"/>
      <c r="L3" s="581"/>
      <c r="M3" s="581"/>
      <c r="N3" s="581"/>
      <c r="O3" s="601"/>
      <c r="P3" s="1234"/>
      <c r="Q3" s="1234"/>
    </row>
    <row r="4" spans="1:19" ht="20.25" customHeight="1">
      <c r="A4" s="581"/>
      <c r="B4" s="581"/>
      <c r="C4" s="581"/>
      <c r="D4" s="581"/>
      <c r="E4" s="581"/>
      <c r="F4" s="865" t="s">
        <v>1222</v>
      </c>
      <c r="G4" s="1719" t="str">
        <f>表紙!E2</f>
        <v>市立豊中病院</v>
      </c>
      <c r="H4" s="1720"/>
      <c r="I4" s="1720"/>
      <c r="J4" s="1720"/>
      <c r="K4" s="1720"/>
      <c r="L4" s="1720"/>
      <c r="M4" s="1720"/>
      <c r="N4" s="1720"/>
      <c r="O4" s="1721"/>
      <c r="P4" s="1234"/>
      <c r="Q4" s="1234"/>
      <c r="R4" s="97"/>
    </row>
    <row r="5" spans="1:19" ht="15.75" customHeight="1">
      <c r="A5" s="581"/>
      <c r="B5" s="581"/>
      <c r="C5" s="581"/>
      <c r="D5" s="581"/>
      <c r="E5" s="581"/>
      <c r="F5" s="865"/>
      <c r="L5" s="61"/>
      <c r="M5" s="61"/>
      <c r="N5" s="718"/>
      <c r="O5" s="882" t="str">
        <f>+'事務局使用（発出時は非表示にすること）'!B3</f>
        <v>令和６年９月１日時点</v>
      </c>
      <c r="P5" s="1234"/>
      <c r="Q5" s="1234"/>
      <c r="R5" s="120"/>
      <c r="S5" s="188" t="s">
        <v>268</v>
      </c>
    </row>
    <row r="6" spans="1:19" ht="12.75" customHeight="1" thickBot="1">
      <c r="A6" s="581"/>
      <c r="B6" s="581"/>
      <c r="C6" s="581"/>
      <c r="D6" s="581"/>
      <c r="E6" s="581"/>
      <c r="F6" s="581"/>
      <c r="G6" s="581"/>
      <c r="H6" s="581"/>
      <c r="I6" s="581"/>
      <c r="J6" s="581"/>
      <c r="K6" s="581"/>
      <c r="L6" s="581"/>
      <c r="M6" s="581"/>
      <c r="N6" s="61"/>
      <c r="O6" s="61"/>
      <c r="P6" s="61"/>
      <c r="Q6" s="61"/>
      <c r="S6" s="189"/>
    </row>
    <row r="7" spans="1:19" ht="39" customHeight="1" thickBot="1">
      <c r="A7" s="1098">
        <v>1</v>
      </c>
      <c r="B7" s="1722" t="s">
        <v>1731</v>
      </c>
      <c r="C7" s="1723"/>
      <c r="D7" s="1723"/>
      <c r="E7" s="1723"/>
      <c r="F7" s="1723"/>
      <c r="G7" s="1723"/>
      <c r="H7" s="1724"/>
      <c r="I7" s="1478" t="s">
        <v>1936</v>
      </c>
      <c r="J7" s="1479"/>
      <c r="K7" s="1479"/>
      <c r="L7" s="1479"/>
      <c r="M7" s="1480"/>
      <c r="N7" s="61"/>
      <c r="O7" s="61"/>
      <c r="P7" s="61"/>
      <c r="Q7" s="581" t="str">
        <f>IF(I7="","×","○")</f>
        <v>○</v>
      </c>
      <c r="S7" s="175"/>
    </row>
    <row r="8" spans="1:19" ht="39" customHeight="1" thickBot="1">
      <c r="A8" s="1098">
        <v>2</v>
      </c>
      <c r="B8" s="1722" t="s">
        <v>1732</v>
      </c>
      <c r="C8" s="1728"/>
      <c r="D8" s="1728"/>
      <c r="E8" s="1728"/>
      <c r="F8" s="1728"/>
      <c r="G8" s="1728"/>
      <c r="H8" s="1729"/>
      <c r="I8" s="1478" t="s">
        <v>1934</v>
      </c>
      <c r="J8" s="1479"/>
      <c r="K8" s="1479"/>
      <c r="L8" s="1479"/>
      <c r="M8" s="1480"/>
      <c r="N8" s="61"/>
      <c r="O8" s="61"/>
      <c r="P8" s="61"/>
      <c r="Q8" s="581" t="str">
        <f t="shared" ref="Q8:Q14" si="0">IF(I8="","×","○")</f>
        <v>○</v>
      </c>
      <c r="S8" s="175"/>
    </row>
    <row r="9" spans="1:19" ht="39" customHeight="1" thickBot="1">
      <c r="A9" s="1098">
        <v>3</v>
      </c>
      <c r="B9" s="1722" t="s">
        <v>1733</v>
      </c>
      <c r="C9" s="1730"/>
      <c r="D9" s="1730"/>
      <c r="E9" s="1730"/>
      <c r="F9" s="1730"/>
      <c r="G9" s="1730"/>
      <c r="H9" s="1731"/>
      <c r="I9" s="1478" t="s">
        <v>1936</v>
      </c>
      <c r="J9" s="1479"/>
      <c r="K9" s="1479"/>
      <c r="L9" s="1479"/>
      <c r="M9" s="1480"/>
      <c r="N9" s="61"/>
      <c r="O9" s="61"/>
      <c r="P9" s="61"/>
      <c r="Q9" s="581" t="str">
        <f t="shared" si="0"/>
        <v>○</v>
      </c>
      <c r="S9" s="175"/>
    </row>
    <row r="10" spans="1:19" ht="39" customHeight="1" thickBot="1">
      <c r="A10" s="1098">
        <v>4</v>
      </c>
      <c r="B10" s="1722" t="s">
        <v>1734</v>
      </c>
      <c r="C10" s="1723"/>
      <c r="D10" s="1723"/>
      <c r="E10" s="1723"/>
      <c r="F10" s="1723"/>
      <c r="G10" s="1723"/>
      <c r="H10" s="1724"/>
      <c r="I10" s="1478" t="s">
        <v>1936</v>
      </c>
      <c r="J10" s="1479"/>
      <c r="K10" s="1479"/>
      <c r="L10" s="1479"/>
      <c r="M10" s="1480"/>
      <c r="N10" s="61"/>
      <c r="O10" s="61"/>
      <c r="P10" s="61"/>
      <c r="Q10" s="581" t="str">
        <f t="shared" si="0"/>
        <v>○</v>
      </c>
      <c r="S10" s="175"/>
    </row>
    <row r="11" spans="1:19" ht="39" customHeight="1" thickBot="1">
      <c r="A11" s="1098">
        <v>5</v>
      </c>
      <c r="B11" s="1722" t="s">
        <v>1735</v>
      </c>
      <c r="C11" s="1723"/>
      <c r="D11" s="1723"/>
      <c r="E11" s="1723"/>
      <c r="F11" s="1723"/>
      <c r="G11" s="1723"/>
      <c r="H11" s="1724"/>
      <c r="I11" s="1478" t="s">
        <v>1936</v>
      </c>
      <c r="J11" s="1479"/>
      <c r="K11" s="1479"/>
      <c r="L11" s="1479"/>
      <c r="M11" s="1480"/>
      <c r="N11" s="61"/>
      <c r="O11" s="61"/>
      <c r="P11" s="61"/>
      <c r="Q11" s="581" t="str">
        <f t="shared" si="0"/>
        <v>○</v>
      </c>
      <c r="S11" s="175"/>
    </row>
    <row r="12" spans="1:19" ht="39" customHeight="1" thickBot="1">
      <c r="A12" s="642">
        <v>6</v>
      </c>
      <c r="B12" s="1725" t="s">
        <v>1736</v>
      </c>
      <c r="C12" s="1726"/>
      <c r="D12" s="1726"/>
      <c r="E12" s="1726"/>
      <c r="F12" s="1726"/>
      <c r="G12" s="1726"/>
      <c r="H12" s="1727"/>
      <c r="I12" s="1478" t="s">
        <v>1936</v>
      </c>
      <c r="J12" s="1479"/>
      <c r="K12" s="1479"/>
      <c r="L12" s="1479"/>
      <c r="M12" s="1480"/>
      <c r="N12" s="61"/>
      <c r="O12" s="61"/>
      <c r="P12" s="61"/>
      <c r="Q12" s="581" t="str">
        <f t="shared" si="0"/>
        <v>○</v>
      </c>
      <c r="S12" s="175"/>
    </row>
    <row r="13" spans="1:19" ht="39" customHeight="1" thickBot="1">
      <c r="A13" s="1098">
        <v>7</v>
      </c>
      <c r="B13" s="1722" t="s">
        <v>1737</v>
      </c>
      <c r="C13" s="1723"/>
      <c r="D13" s="1723"/>
      <c r="E13" s="1723"/>
      <c r="F13" s="1723"/>
      <c r="G13" s="1723"/>
      <c r="H13" s="1724"/>
      <c r="I13" s="1478" t="s">
        <v>1934</v>
      </c>
      <c r="J13" s="1479"/>
      <c r="K13" s="1479"/>
      <c r="L13" s="1479"/>
      <c r="M13" s="1480"/>
      <c r="N13" s="61"/>
      <c r="O13" s="61"/>
      <c r="P13" s="61"/>
      <c r="Q13" s="581" t="str">
        <f t="shared" si="0"/>
        <v>○</v>
      </c>
      <c r="S13" s="175"/>
    </row>
    <row r="14" spans="1:19" ht="39" customHeight="1" thickBot="1">
      <c r="A14" s="642">
        <v>8</v>
      </c>
      <c r="B14" s="1725" t="s">
        <v>1738</v>
      </c>
      <c r="C14" s="1726"/>
      <c r="D14" s="1726"/>
      <c r="E14" s="1726"/>
      <c r="F14" s="1726"/>
      <c r="G14" s="1726"/>
      <c r="H14" s="1727"/>
      <c r="I14" s="1478" t="s">
        <v>1936</v>
      </c>
      <c r="J14" s="1479"/>
      <c r="K14" s="1479"/>
      <c r="L14" s="1479"/>
      <c r="M14" s="1480"/>
      <c r="N14" s="61"/>
      <c r="O14" s="61"/>
      <c r="P14" s="61"/>
      <c r="Q14" s="581" t="str">
        <f t="shared" si="0"/>
        <v>○</v>
      </c>
      <c r="S14" s="186"/>
    </row>
    <row r="15" spans="1:19">
      <c r="A15" s="203"/>
    </row>
    <row r="16" spans="1:19">
      <c r="A16" s="203"/>
    </row>
    <row r="17" spans="1:1">
      <c r="A17" s="203"/>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10"/>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zoomScaleNormal="100" zoomScaleSheetLayoutView="100" workbookViewId="0">
      <selection activeCell="F39" sqref="F39:H39"/>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59" customWidth="1"/>
    <col min="11" max="11" width="6" style="59" hidden="1" customWidth="1"/>
    <col min="12" max="12" width="2.625" style="59" hidden="1" customWidth="1"/>
    <col min="13" max="13" width="80.625" style="340" customWidth="1"/>
  </cols>
  <sheetData>
    <row r="1" spans="1:13" ht="18" customHeight="1" thickBot="1">
      <c r="A1" s="1766" t="s">
        <v>1739</v>
      </c>
      <c r="B1" s="1766"/>
      <c r="C1" s="1766"/>
      <c r="D1" s="1766"/>
      <c r="E1" s="1766"/>
      <c r="F1" s="1766"/>
      <c r="G1" s="1766"/>
      <c r="H1" s="1766"/>
      <c r="I1" s="1766"/>
      <c r="L1" s="97"/>
    </row>
    <row r="2" spans="1:13" ht="24.95" customHeight="1" thickTop="1" thickBot="1">
      <c r="A2" s="1228" t="s">
        <v>1348</v>
      </c>
      <c r="B2" s="1228"/>
      <c r="C2" s="1228"/>
      <c r="D2" s="1228"/>
      <c r="E2" s="1228"/>
      <c r="F2" s="1228"/>
      <c r="G2" s="1228"/>
      <c r="H2" s="1228"/>
      <c r="I2" s="533" t="str">
        <f>IF(COUNTIF(K6:K38,"×")&gt;=1,"未入力あり","入力済")</f>
        <v>入力済</v>
      </c>
      <c r="J2" s="1749"/>
      <c r="K2" s="534"/>
      <c r="L2" s="97"/>
    </row>
    <row r="3" spans="1:13" ht="15" thickTop="1">
      <c r="A3" s="895"/>
      <c r="B3" s="895"/>
      <c r="C3" s="895"/>
      <c r="D3" s="895"/>
      <c r="E3" s="895"/>
      <c r="F3" s="895"/>
      <c r="G3" s="895"/>
      <c r="H3" s="895"/>
      <c r="I3" s="896"/>
      <c r="J3" s="1749"/>
      <c r="K3" s="534"/>
      <c r="L3" s="97"/>
    </row>
    <row r="4" spans="1:13" s="899" customFormat="1" ht="20.100000000000001" customHeight="1">
      <c r="A4" s="897"/>
      <c r="B4" s="897"/>
      <c r="C4" s="897"/>
      <c r="D4" s="897"/>
      <c r="E4" s="897"/>
      <c r="F4" s="898" t="s">
        <v>1740</v>
      </c>
      <c r="G4" s="1767" t="str">
        <f>表紙!E2</f>
        <v>市立豊中病院</v>
      </c>
      <c r="H4" s="1768"/>
      <c r="I4" s="1769"/>
      <c r="J4" s="1749"/>
      <c r="K4" s="534"/>
      <c r="L4" s="815"/>
      <c r="M4" s="188" t="s">
        <v>1410</v>
      </c>
    </row>
    <row r="5" spans="1:13" s="899" customFormat="1" ht="20.100000000000001" customHeight="1" thickBot="1">
      <c r="A5" s="897"/>
      <c r="B5" s="897"/>
      <c r="C5" s="897"/>
      <c r="D5" s="897"/>
      <c r="E5" s="897"/>
      <c r="F5" s="898" t="s">
        <v>1223</v>
      </c>
      <c r="G5" s="1046" t="str">
        <f>+'事務局使用（発出時は非表示にすること）'!B3</f>
        <v>令和６年９月１日時点</v>
      </c>
      <c r="H5" s="1046"/>
      <c r="I5" s="1046"/>
      <c r="J5" s="815"/>
      <c r="K5" s="815"/>
      <c r="L5" s="815"/>
      <c r="M5" s="87"/>
    </row>
    <row r="6" spans="1:13" s="899" customFormat="1" ht="20.100000000000001" customHeight="1" thickBot="1">
      <c r="A6" s="900" t="s">
        <v>1741</v>
      </c>
      <c r="B6" s="897"/>
      <c r="C6" s="897"/>
      <c r="D6" s="897"/>
      <c r="E6" s="897"/>
      <c r="F6" s="898"/>
      <c r="G6" s="338"/>
      <c r="H6" s="50" t="s">
        <v>1936</v>
      </c>
      <c r="I6" s="59" t="s">
        <v>1661</v>
      </c>
      <c r="J6" s="815"/>
      <c r="K6" s="815" t="str">
        <f>IF(H6="","×","○")</f>
        <v>○</v>
      </c>
      <c r="L6" s="815"/>
      <c r="M6" s="87"/>
    </row>
    <row r="7" spans="1:13" s="899" customFormat="1" ht="20.100000000000001" customHeight="1">
      <c r="A7" s="900" t="s">
        <v>1742</v>
      </c>
      <c r="B7" s="900"/>
      <c r="C7" s="897"/>
      <c r="D7" s="897"/>
      <c r="E7" s="897"/>
      <c r="F7" s="898"/>
      <c r="G7" s="59"/>
      <c r="H7" s="815"/>
      <c r="I7" s="815"/>
      <c r="J7" s="815"/>
      <c r="K7" s="815"/>
      <c r="L7" s="815"/>
      <c r="M7" s="87"/>
    </row>
    <row r="8" spans="1:13" ht="16.5" customHeight="1">
      <c r="A8" s="901"/>
      <c r="B8" s="901"/>
      <c r="C8" s="1770" t="s">
        <v>1743</v>
      </c>
      <c r="D8" s="1770"/>
      <c r="E8" s="1770"/>
      <c r="F8" s="1770"/>
      <c r="G8" s="1770"/>
      <c r="H8" s="1770"/>
      <c r="I8" s="1770"/>
      <c r="M8" s="87"/>
    </row>
    <row r="9" spans="1:13" ht="50.25" customHeight="1">
      <c r="A9" s="902"/>
      <c r="B9" s="902"/>
      <c r="C9" s="1754" t="s">
        <v>1744</v>
      </c>
      <c r="D9" s="1754"/>
      <c r="E9" s="1754"/>
      <c r="F9" s="1754"/>
      <c r="G9" s="1754"/>
      <c r="H9" s="1754"/>
      <c r="I9" s="1754"/>
      <c r="M9" s="87"/>
    </row>
    <row r="10" spans="1:13" ht="25.5" customHeight="1">
      <c r="A10" s="902"/>
      <c r="B10" s="902"/>
      <c r="C10" s="1754" t="s">
        <v>1745</v>
      </c>
      <c r="D10" s="1754"/>
      <c r="E10" s="1754"/>
      <c r="F10" s="1754"/>
      <c r="G10" s="1754"/>
      <c r="H10" s="1754"/>
      <c r="I10" s="1754"/>
      <c r="M10" s="87"/>
    </row>
    <row r="11" spans="1:13" ht="30" customHeight="1">
      <c r="A11" s="902"/>
      <c r="B11" s="902"/>
      <c r="C11" s="1765" t="s">
        <v>1746</v>
      </c>
      <c r="D11" s="1765"/>
      <c r="E11" s="1765"/>
      <c r="F11" s="1765"/>
      <c r="G11" s="1765"/>
      <c r="H11" s="1765"/>
      <c r="I11" s="1765"/>
      <c r="M11" s="87"/>
    </row>
    <row r="12" spans="1:13" ht="18" customHeight="1">
      <c r="A12" s="1750"/>
      <c r="B12" s="1751"/>
      <c r="C12" s="1758" t="s">
        <v>1747</v>
      </c>
      <c r="D12" s="1760" t="s">
        <v>1748</v>
      </c>
      <c r="E12" s="1760" t="s">
        <v>1749</v>
      </c>
      <c r="F12" s="1762" t="s">
        <v>1750</v>
      </c>
      <c r="G12" s="1763"/>
      <c r="H12" s="1763"/>
      <c r="I12" s="1764"/>
      <c r="M12" s="87"/>
    </row>
    <row r="13" spans="1:13" ht="18" customHeight="1" thickBot="1">
      <c r="A13" s="1752"/>
      <c r="B13" s="1753"/>
      <c r="C13" s="1759"/>
      <c r="D13" s="1761"/>
      <c r="E13" s="1761"/>
      <c r="F13" s="1756" t="s">
        <v>1751</v>
      </c>
      <c r="G13" s="1757"/>
      <c r="H13" s="903" t="s">
        <v>1752</v>
      </c>
      <c r="I13" s="904" t="s">
        <v>1753</v>
      </c>
      <c r="M13" s="87"/>
    </row>
    <row r="14" spans="1:13" ht="27" customHeight="1" thickBot="1">
      <c r="A14" s="545">
        <v>1</v>
      </c>
      <c r="B14" s="905" t="s">
        <v>1754</v>
      </c>
      <c r="C14" s="114" t="s">
        <v>312</v>
      </c>
      <c r="D14" s="50" t="s">
        <v>1789</v>
      </c>
      <c r="E14" s="52" t="s">
        <v>2051</v>
      </c>
      <c r="F14" s="1735" t="s">
        <v>2052</v>
      </c>
      <c r="G14" s="1736"/>
      <c r="H14" s="121" t="s">
        <v>2053</v>
      </c>
      <c r="I14" s="123" t="s">
        <v>2054</v>
      </c>
      <c r="J14" s="338"/>
      <c r="K14" s="59" t="str">
        <f>IF(AND(H6="はい",OR(C14="",D14="",E14="",F14="",H14="",I14="")),"×","○")</f>
        <v>○</v>
      </c>
      <c r="M14" s="87"/>
    </row>
    <row r="15" spans="1:13" ht="27" customHeight="1" thickBot="1">
      <c r="A15" s="545">
        <v>2</v>
      </c>
      <c r="B15" s="1737"/>
      <c r="C15" s="114" t="s">
        <v>1567</v>
      </c>
      <c r="D15" s="50" t="s">
        <v>1789</v>
      </c>
      <c r="E15" s="52" t="s">
        <v>2055</v>
      </c>
      <c r="F15" s="1735" t="s">
        <v>2056</v>
      </c>
      <c r="G15" s="1736"/>
      <c r="H15" s="121" t="s">
        <v>2057</v>
      </c>
      <c r="I15" s="1149">
        <v>41465</v>
      </c>
      <c r="M15" s="87"/>
    </row>
    <row r="16" spans="1:13" ht="27" customHeight="1" thickBot="1">
      <c r="A16" s="545">
        <v>3</v>
      </c>
      <c r="B16" s="1738"/>
      <c r="C16" s="114" t="s">
        <v>2058</v>
      </c>
      <c r="D16" s="50" t="s">
        <v>1789</v>
      </c>
      <c r="E16" s="52" t="s">
        <v>2051</v>
      </c>
      <c r="F16" s="1735" t="s">
        <v>2052</v>
      </c>
      <c r="G16" s="1736"/>
      <c r="H16" s="121" t="s">
        <v>2059</v>
      </c>
      <c r="I16" s="1149">
        <v>44549</v>
      </c>
      <c r="M16" s="87"/>
    </row>
    <row r="17" spans="1:13" ht="27" customHeight="1" thickBot="1">
      <c r="A17" s="545">
        <v>4</v>
      </c>
      <c r="B17" s="1738"/>
      <c r="C17" s="114" t="s">
        <v>1567</v>
      </c>
      <c r="D17" s="50" t="s">
        <v>1789</v>
      </c>
      <c r="E17" s="52" t="s">
        <v>2055</v>
      </c>
      <c r="F17" s="1735" t="s">
        <v>2060</v>
      </c>
      <c r="G17" s="1736"/>
      <c r="H17" s="121" t="s">
        <v>2061</v>
      </c>
      <c r="I17" s="1149">
        <v>43084</v>
      </c>
      <c r="M17" s="87"/>
    </row>
    <row r="18" spans="1:13" ht="27" customHeight="1" thickBot="1">
      <c r="A18" s="545">
        <v>5</v>
      </c>
      <c r="B18" s="1738"/>
      <c r="C18" s="114" t="s">
        <v>1567</v>
      </c>
      <c r="D18" s="50" t="s">
        <v>1789</v>
      </c>
      <c r="E18" s="52" t="s">
        <v>2055</v>
      </c>
      <c r="F18" s="1735" t="s">
        <v>2062</v>
      </c>
      <c r="G18" s="1736"/>
      <c r="H18" s="121" t="s">
        <v>2063</v>
      </c>
      <c r="I18" s="1149">
        <v>45424</v>
      </c>
      <c r="M18" s="87"/>
    </row>
    <row r="19" spans="1:13" ht="27" customHeight="1" thickBot="1">
      <c r="A19" s="545">
        <v>6</v>
      </c>
      <c r="B19" s="1738"/>
      <c r="C19" s="114"/>
      <c r="D19" s="50"/>
      <c r="E19" s="52"/>
      <c r="F19" s="1735"/>
      <c r="G19" s="1736"/>
      <c r="H19" s="121"/>
      <c r="I19" s="123"/>
      <c r="M19" s="87"/>
    </row>
    <row r="20" spans="1:13" ht="27" customHeight="1" thickBot="1">
      <c r="A20" s="545">
        <v>7</v>
      </c>
      <c r="B20" s="1738"/>
      <c r="C20" s="114"/>
      <c r="D20" s="50"/>
      <c r="E20" s="52"/>
      <c r="F20" s="1735"/>
      <c r="G20" s="1736"/>
      <c r="H20" s="121"/>
      <c r="I20" s="123"/>
      <c r="M20" s="87"/>
    </row>
    <row r="21" spans="1:13" ht="27" customHeight="1" thickBot="1">
      <c r="A21" s="545">
        <v>8</v>
      </c>
      <c r="B21" s="1738"/>
      <c r="C21" s="114"/>
      <c r="D21" s="50"/>
      <c r="E21" s="52"/>
      <c r="F21" s="1735"/>
      <c r="G21" s="1736"/>
      <c r="H21" s="121"/>
      <c r="I21" s="123"/>
      <c r="M21" s="87"/>
    </row>
    <row r="22" spans="1:13" ht="27" customHeight="1" thickBot="1">
      <c r="A22" s="545">
        <v>9</v>
      </c>
      <c r="B22" s="1738"/>
      <c r="C22" s="114"/>
      <c r="D22" s="50"/>
      <c r="E22" s="52"/>
      <c r="F22" s="1735"/>
      <c r="G22" s="1736"/>
      <c r="H22" s="121"/>
      <c r="I22" s="123"/>
      <c r="M22" s="87"/>
    </row>
    <row r="23" spans="1:13" ht="27" customHeight="1" thickBot="1">
      <c r="A23" s="545">
        <v>10</v>
      </c>
      <c r="B23" s="1738"/>
      <c r="C23" s="114"/>
      <c r="D23" s="50"/>
      <c r="E23" s="52"/>
      <c r="F23" s="1735"/>
      <c r="G23" s="1736"/>
      <c r="H23" s="121"/>
      <c r="I23" s="123"/>
      <c r="M23" s="87"/>
    </row>
    <row r="24" spans="1:13" ht="27" customHeight="1" thickBot="1">
      <c r="A24" s="545">
        <v>11</v>
      </c>
      <c r="B24" s="1738"/>
      <c r="C24" s="114"/>
      <c r="D24" s="50"/>
      <c r="E24" s="52"/>
      <c r="F24" s="1735"/>
      <c r="G24" s="1736"/>
      <c r="H24" s="121"/>
      <c r="I24" s="123"/>
      <c r="M24" s="87"/>
    </row>
    <row r="25" spans="1:13" ht="27" customHeight="1" thickBot="1">
      <c r="A25" s="545">
        <v>12</v>
      </c>
      <c r="B25" s="1738"/>
      <c r="C25" s="114"/>
      <c r="D25" s="50"/>
      <c r="E25" s="52"/>
      <c r="F25" s="1735"/>
      <c r="G25" s="1736"/>
      <c r="H25" s="121"/>
      <c r="I25" s="123"/>
      <c r="M25" s="87"/>
    </row>
    <row r="26" spans="1:13" ht="27" customHeight="1" thickBot="1">
      <c r="A26" s="545">
        <v>13</v>
      </c>
      <c r="B26" s="1738"/>
      <c r="C26" s="114"/>
      <c r="D26" s="50"/>
      <c r="E26" s="52"/>
      <c r="F26" s="1735"/>
      <c r="G26" s="1736"/>
      <c r="H26" s="121"/>
      <c r="I26" s="123"/>
      <c r="M26" s="87"/>
    </row>
    <row r="27" spans="1:13" ht="27" customHeight="1" thickBot="1">
      <c r="A27" s="545">
        <v>14</v>
      </c>
      <c r="B27" s="1738"/>
      <c r="C27" s="114"/>
      <c r="D27" s="50"/>
      <c r="E27" s="52"/>
      <c r="F27" s="1735"/>
      <c r="G27" s="1736"/>
      <c r="H27" s="121"/>
      <c r="I27" s="123"/>
      <c r="M27" s="87"/>
    </row>
    <row r="28" spans="1:13" ht="27" customHeight="1" thickBot="1">
      <c r="A28" s="545">
        <v>15</v>
      </c>
      <c r="B28" s="1739"/>
      <c r="C28" s="114"/>
      <c r="D28" s="50"/>
      <c r="E28" s="52"/>
      <c r="F28" s="1735"/>
      <c r="G28" s="1736"/>
      <c r="H28" s="121"/>
      <c r="I28" s="123"/>
      <c r="M28" s="87"/>
    </row>
    <row r="29" spans="1:13" ht="20.100000000000001" customHeight="1">
      <c r="A29" s="59"/>
      <c r="B29" s="59"/>
      <c r="C29" s="59"/>
      <c r="D29" s="59"/>
      <c r="E29" s="59"/>
      <c r="F29" s="59"/>
      <c r="G29" s="59"/>
      <c r="H29" s="59"/>
      <c r="I29" s="59"/>
      <c r="J29" s="550" t="s">
        <v>1422</v>
      </c>
      <c r="L29" s="550"/>
      <c r="M29" s="163"/>
    </row>
    <row r="30" spans="1:13">
      <c r="A30" s="59"/>
      <c r="B30" s="59"/>
      <c r="C30" s="59"/>
      <c r="D30" s="59"/>
      <c r="E30" s="59"/>
      <c r="F30" s="61"/>
      <c r="G30" s="59"/>
      <c r="H30" s="59"/>
      <c r="I30" s="59"/>
      <c r="M30" s="87"/>
    </row>
    <row r="31" spans="1:13" ht="42.75" customHeight="1">
      <c r="A31" s="1631" t="s">
        <v>1755</v>
      </c>
      <c r="B31" s="1631"/>
      <c r="C31" s="1631"/>
      <c r="D31" s="1631"/>
      <c r="E31" s="1631"/>
      <c r="F31" s="1631"/>
      <c r="G31" s="1631"/>
      <c r="H31" s="1631"/>
      <c r="I31" s="1631"/>
      <c r="L31" s="906"/>
      <c r="M31" s="187"/>
    </row>
    <row r="32" spans="1:13">
      <c r="A32" s="59"/>
      <c r="B32" s="59"/>
      <c r="C32" s="59"/>
      <c r="D32" s="59"/>
      <c r="E32" s="59"/>
      <c r="F32" s="59"/>
      <c r="G32" s="59"/>
      <c r="H32" s="59"/>
      <c r="I32" s="59"/>
      <c r="L32" s="906"/>
      <c r="M32" s="87"/>
    </row>
    <row r="33" spans="1:13">
      <c r="A33" s="1744"/>
      <c r="B33" s="1744" t="s">
        <v>1756</v>
      </c>
      <c r="C33" s="1744"/>
      <c r="D33" s="1744"/>
      <c r="E33" s="1744"/>
      <c r="F33" s="1744" t="s">
        <v>1757</v>
      </c>
      <c r="G33" s="1744"/>
      <c r="H33" s="1744"/>
      <c r="I33" s="1702" t="s">
        <v>1758</v>
      </c>
      <c r="J33" s="1031"/>
      <c r="L33" s="906"/>
      <c r="M33" s="87"/>
    </row>
    <row r="34" spans="1:13">
      <c r="A34" s="1744"/>
      <c r="B34" s="1744"/>
      <c r="C34" s="1744"/>
      <c r="D34" s="1744"/>
      <c r="E34" s="1744"/>
      <c r="F34" s="1744"/>
      <c r="G34" s="1744"/>
      <c r="H34" s="1744"/>
      <c r="I34" s="1755"/>
      <c r="J34" s="1031"/>
      <c r="L34" s="906"/>
      <c r="M34" s="87"/>
    </row>
    <row r="35" spans="1:13" ht="33" customHeight="1">
      <c r="A35" s="67" t="s">
        <v>1228</v>
      </c>
      <c r="B35" s="1747" t="s">
        <v>1759</v>
      </c>
      <c r="C35" s="1748"/>
      <c r="D35" s="1748"/>
      <c r="E35" s="1748"/>
      <c r="F35" s="1732" t="s">
        <v>1760</v>
      </c>
      <c r="G35" s="1733"/>
      <c r="H35" s="1734"/>
      <c r="I35" s="907" t="s">
        <v>1761</v>
      </c>
      <c r="J35" s="1031"/>
      <c r="L35" s="906"/>
      <c r="M35" s="87"/>
    </row>
    <row r="36" spans="1:13" ht="33" customHeight="1">
      <c r="A36" s="67" t="s">
        <v>1228</v>
      </c>
      <c r="B36" s="1746" t="s">
        <v>1762</v>
      </c>
      <c r="C36" s="1733"/>
      <c r="D36" s="1733"/>
      <c r="E36" s="1734"/>
      <c r="F36" s="1732" t="s">
        <v>1763</v>
      </c>
      <c r="G36" s="1733"/>
      <c r="H36" s="1734"/>
      <c r="I36" s="907" t="s">
        <v>1764</v>
      </c>
      <c r="J36" s="1031"/>
      <c r="L36" s="906"/>
      <c r="M36" s="87"/>
    </row>
    <row r="37" spans="1:13" ht="33" customHeight="1">
      <c r="A37" s="67" t="s">
        <v>1228</v>
      </c>
      <c r="B37" s="1747" t="s">
        <v>1765</v>
      </c>
      <c r="C37" s="1748"/>
      <c r="D37" s="1748"/>
      <c r="E37" s="1748"/>
      <c r="F37" s="1732" t="s">
        <v>1766</v>
      </c>
      <c r="G37" s="1733"/>
      <c r="H37" s="1734"/>
      <c r="I37" s="907" t="s">
        <v>1764</v>
      </c>
      <c r="J37" s="1031"/>
      <c r="L37" s="906"/>
      <c r="M37" s="87"/>
    </row>
    <row r="38" spans="1:13" ht="33" customHeight="1">
      <c r="A38" s="908">
        <v>1</v>
      </c>
      <c r="B38" s="1740" t="s">
        <v>2064</v>
      </c>
      <c r="C38" s="1741"/>
      <c r="D38" s="1741"/>
      <c r="E38" s="1742"/>
      <c r="F38" s="1745">
        <v>43868</v>
      </c>
      <c r="G38" s="1743"/>
      <c r="H38" s="1743"/>
      <c r="I38" s="1150">
        <v>45645</v>
      </c>
      <c r="J38" s="1031"/>
      <c r="K38" s="59" t="str">
        <f>IF(AND(B38&lt;&gt;"",F38&lt;&gt;"",I38&lt;&gt;""),"○","×")</f>
        <v>○</v>
      </c>
      <c r="L38" s="906"/>
      <c r="M38" s="175"/>
    </row>
    <row r="39" spans="1:13" ht="33" customHeight="1">
      <c r="A39" s="908">
        <v>2</v>
      </c>
      <c r="B39" s="1740"/>
      <c r="C39" s="1741"/>
      <c r="D39" s="1741"/>
      <c r="E39" s="1742"/>
      <c r="F39" s="1743"/>
      <c r="G39" s="1743"/>
      <c r="H39" s="1743"/>
      <c r="I39" s="122"/>
      <c r="J39" s="1031"/>
      <c r="K39" s="61"/>
      <c r="L39" s="906"/>
      <c r="M39" s="87"/>
    </row>
    <row r="40" spans="1:13" ht="33" customHeight="1">
      <c r="A40" s="908">
        <v>3</v>
      </c>
      <c r="B40" s="1740"/>
      <c r="C40" s="1741"/>
      <c r="D40" s="1741"/>
      <c r="E40" s="1742"/>
      <c r="F40" s="1743"/>
      <c r="G40" s="1743"/>
      <c r="H40" s="1743"/>
      <c r="I40" s="122"/>
      <c r="J40" s="1031"/>
      <c r="K40" s="61"/>
      <c r="L40" s="906"/>
      <c r="M40" s="87"/>
    </row>
    <row r="41" spans="1:13" ht="33" customHeight="1">
      <c r="A41" s="908">
        <v>4</v>
      </c>
      <c r="B41" s="1740"/>
      <c r="C41" s="1741"/>
      <c r="D41" s="1741"/>
      <c r="E41" s="1742"/>
      <c r="F41" s="1743"/>
      <c r="G41" s="1743"/>
      <c r="H41" s="1743"/>
      <c r="I41" s="122"/>
      <c r="J41" s="1031"/>
      <c r="K41" s="61"/>
      <c r="L41" s="906"/>
      <c r="M41" s="87"/>
    </row>
    <row r="42" spans="1:13" ht="33" customHeight="1">
      <c r="A42" s="908">
        <v>5</v>
      </c>
      <c r="B42" s="1740"/>
      <c r="C42" s="1741"/>
      <c r="D42" s="1741"/>
      <c r="E42" s="1742"/>
      <c r="F42" s="1743"/>
      <c r="G42" s="1743"/>
      <c r="H42" s="1743"/>
      <c r="I42" s="122"/>
      <c r="J42" s="1031"/>
      <c r="K42" s="61"/>
      <c r="L42" s="906"/>
      <c r="M42" s="160"/>
    </row>
  </sheetData>
  <sheetProtection selectLockedCells="1"/>
  <mergeCells count="51">
    <mergeCell ref="A1:I1"/>
    <mergeCell ref="A2:H2"/>
    <mergeCell ref="G4:I4"/>
    <mergeCell ref="C8:I8"/>
    <mergeCell ref="C9:I9"/>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s>
  <phoneticPr fontId="10"/>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zoomScaleNormal="100" zoomScaleSheetLayoutView="100" workbookViewId="0">
      <selection activeCell="C20" sqref="C20"/>
    </sheetView>
  </sheetViews>
  <sheetFormatPr defaultColWidth="8.875" defaultRowHeight="20.100000000000001" customHeight="1"/>
  <cols>
    <col min="1" max="1" width="3.625" customWidth="1"/>
    <col min="2" max="2" width="30.375" customWidth="1"/>
    <col min="3" max="3" width="15.625" customWidth="1"/>
    <col min="4" max="4" width="16.125" customWidth="1"/>
    <col min="5" max="5" width="11.875" customWidth="1"/>
    <col min="6" max="6" width="6.625" customWidth="1"/>
    <col min="7" max="7" width="8.625" customWidth="1"/>
    <col min="8" max="8" width="23.25" customWidth="1"/>
    <col min="9" max="9" width="26.125" customWidth="1"/>
    <col min="10" max="10" width="6" hidden="1" customWidth="1"/>
    <col min="11" max="11" width="2.25" style="59" hidden="1" customWidth="1"/>
    <col min="12" max="12" width="80.625" style="340" customWidth="1"/>
    <col min="13" max="14" width="0" hidden="1" customWidth="1"/>
  </cols>
  <sheetData>
    <row r="1" spans="1:14" ht="18" customHeight="1" thickBot="1">
      <c r="A1" s="1785" t="s">
        <v>1767</v>
      </c>
      <c r="B1" s="1785"/>
      <c r="C1" s="1785"/>
      <c r="D1" s="1785"/>
      <c r="E1" s="1785"/>
      <c r="F1" s="1785"/>
      <c r="G1" s="1785"/>
      <c r="H1" s="1785"/>
      <c r="K1" s="97"/>
    </row>
    <row r="2" spans="1:14" ht="24.95" customHeight="1" thickTop="1" thickBot="1">
      <c r="A2" s="1228" t="s">
        <v>1348</v>
      </c>
      <c r="B2" s="1228"/>
      <c r="C2" s="1228"/>
      <c r="D2" s="1228"/>
      <c r="E2" s="1228"/>
      <c r="F2" s="1228"/>
      <c r="G2" s="1228"/>
      <c r="H2" s="533" t="str">
        <f>IF(COUNTIF(J14:J21,"×")&gt;=1,"未入力あり","入力済")</f>
        <v>入力済</v>
      </c>
      <c r="I2" s="1234"/>
      <c r="J2" s="594"/>
      <c r="K2" s="97"/>
    </row>
    <row r="3" spans="1:14" ht="14.25" thickTop="1">
      <c r="A3" s="909"/>
      <c r="B3" s="909"/>
      <c r="C3" s="909"/>
      <c r="D3" s="909"/>
      <c r="E3" s="909"/>
      <c r="F3" s="909"/>
      <c r="G3" s="909"/>
      <c r="H3" s="910"/>
      <c r="I3" s="1234"/>
      <c r="J3" s="594"/>
    </row>
    <row r="4" spans="1:14" ht="5.0999999999999996" customHeight="1">
      <c r="A4" s="911"/>
      <c r="B4" s="911"/>
      <c r="C4" s="911"/>
      <c r="D4" s="911"/>
      <c r="E4" s="911"/>
      <c r="F4" s="911"/>
      <c r="G4" s="911"/>
      <c r="H4" s="912"/>
      <c r="I4" s="1234"/>
      <c r="J4" s="594"/>
    </row>
    <row r="5" spans="1:14" s="899" customFormat="1" ht="20.100000000000001" customHeight="1">
      <c r="A5" s="913"/>
      <c r="B5" s="913"/>
      <c r="C5" s="913"/>
      <c r="D5" s="913"/>
      <c r="E5" s="914" t="s">
        <v>1740</v>
      </c>
      <c r="F5" s="1786" t="str">
        <f>表紙!E2</f>
        <v>市立豊中病院</v>
      </c>
      <c r="G5" s="1787"/>
      <c r="H5" s="1788"/>
      <c r="I5" s="1234"/>
      <c r="J5" s="594"/>
      <c r="K5" s="815"/>
      <c r="L5" s="188" t="s">
        <v>268</v>
      </c>
    </row>
    <row r="6" spans="1:14" s="899" customFormat="1" ht="20.100000000000001" customHeight="1">
      <c r="A6" s="913"/>
      <c r="B6" s="913"/>
      <c r="C6" s="913"/>
      <c r="D6" s="913"/>
      <c r="E6" s="914" t="s">
        <v>1223</v>
      </c>
      <c r="F6" s="1047" t="str">
        <f>+'事務局使用（発出時は非表示にすること）'!B3</f>
        <v>令和６年９月１日時点</v>
      </c>
      <c r="G6" s="1047"/>
      <c r="H6" s="1047"/>
      <c r="I6" s="1234"/>
      <c r="J6" s="594"/>
      <c r="K6" s="815"/>
      <c r="L6" s="87"/>
    </row>
    <row r="7" spans="1:14" s="899" customFormat="1" ht="20.100000000000001" customHeight="1">
      <c r="A7" s="59" t="s">
        <v>1768</v>
      </c>
      <c r="B7" s="815"/>
      <c r="C7" s="815"/>
      <c r="D7" s="815"/>
      <c r="E7" s="767"/>
      <c r="F7" s="59"/>
      <c r="G7" s="815"/>
      <c r="H7" s="815"/>
      <c r="K7" s="815"/>
      <c r="L7" s="87"/>
    </row>
    <row r="8" spans="1:14" s="899" customFormat="1" ht="11.25" customHeight="1">
      <c r="A8" s="911"/>
      <c r="B8" s="913"/>
      <c r="C8" s="913"/>
      <c r="D8" s="913"/>
      <c r="E8" s="914"/>
      <c r="F8"/>
      <c r="K8" s="815"/>
      <c r="L8" s="87"/>
    </row>
    <row r="9" spans="1:14" ht="16.5" customHeight="1">
      <c r="A9" s="915"/>
      <c r="B9" s="1783" t="s">
        <v>1769</v>
      </c>
      <c r="C9" s="1783"/>
      <c r="D9" s="1783"/>
      <c r="E9" s="1783"/>
      <c r="F9" s="1783"/>
      <c r="G9" s="1783"/>
      <c r="H9" s="1783"/>
      <c r="L9" s="87"/>
    </row>
    <row r="10" spans="1:14" ht="16.5" customHeight="1">
      <c r="A10" s="915"/>
      <c r="B10" s="1783" t="s">
        <v>1770</v>
      </c>
      <c r="C10" s="1783"/>
      <c r="D10" s="1783"/>
      <c r="E10" s="1783"/>
      <c r="F10" s="1783"/>
      <c r="G10" s="1783"/>
      <c r="H10" s="1783"/>
      <c r="L10" s="87"/>
    </row>
    <row r="11" spans="1:14" ht="26.25" customHeight="1">
      <c r="A11" s="915"/>
      <c r="B11" s="1783" t="s">
        <v>1771</v>
      </c>
      <c r="C11" s="1783"/>
      <c r="D11" s="1783"/>
      <c r="E11" s="1783"/>
      <c r="F11" s="1783"/>
      <c r="G11" s="1783"/>
      <c r="H11" s="1783"/>
      <c r="L11" s="87"/>
    </row>
    <row r="12" spans="1:14" ht="24" customHeight="1">
      <c r="A12" s="915"/>
      <c r="B12" s="1783" t="s">
        <v>1772</v>
      </c>
      <c r="C12" s="1783"/>
      <c r="D12" s="1783"/>
      <c r="E12" s="1783"/>
      <c r="F12" s="1783"/>
      <c r="G12" s="1783"/>
      <c r="H12" s="1783"/>
      <c r="L12" s="87"/>
    </row>
    <row r="13" spans="1:14" ht="47.25" customHeight="1">
      <c r="A13" s="915"/>
      <c r="B13" s="1784" t="s">
        <v>1773</v>
      </c>
      <c r="C13" s="1784"/>
      <c r="D13" s="1784"/>
      <c r="E13" s="1784"/>
      <c r="F13" s="1784"/>
      <c r="G13" s="1784"/>
      <c r="H13" s="1784"/>
      <c r="L13" s="87"/>
    </row>
    <row r="14" spans="1:14" ht="13.9" customHeight="1" thickBot="1">
      <c r="A14" s="915"/>
      <c r="B14" s="916"/>
      <c r="C14" s="916"/>
      <c r="D14" s="916"/>
      <c r="E14" s="916"/>
      <c r="F14" s="916"/>
      <c r="G14" s="916"/>
      <c r="H14" s="916"/>
      <c r="K14" s="906"/>
      <c r="L14" s="87"/>
    </row>
    <row r="15" spans="1:14" s="899" customFormat="1" ht="20.100000000000001" customHeight="1" thickBot="1">
      <c r="A15" s="917"/>
      <c r="B15" s="1782" t="s">
        <v>1774</v>
      </c>
      <c r="C15" s="1782"/>
      <c r="D15" s="1782"/>
      <c r="E15" s="1782"/>
      <c r="F15" s="898"/>
      <c r="G15" s="338"/>
      <c r="H15" s="50" t="s">
        <v>1936</v>
      </c>
      <c r="I15" s="59"/>
      <c r="J15" s="581" t="str">
        <f>IF(H15="","×","○")</f>
        <v>○</v>
      </c>
      <c r="K15" s="815"/>
      <c r="L15" s="87"/>
      <c r="M15"/>
      <c r="N15"/>
    </row>
    <row r="16" spans="1:14" s="899" customFormat="1" ht="20.100000000000001" customHeight="1">
      <c r="A16" s="900"/>
      <c r="B16" s="897"/>
      <c r="C16" s="897"/>
      <c r="D16" s="897"/>
      <c r="E16" s="897"/>
      <c r="F16" s="898"/>
      <c r="G16" s="338"/>
      <c r="H16" s="338"/>
      <c r="I16" s="59"/>
      <c r="J16" s="583"/>
      <c r="K16" s="815"/>
      <c r="L16" s="87"/>
      <c r="M16" s="61"/>
    </row>
    <row r="17" spans="1:14" ht="13.5">
      <c r="A17" s="917"/>
      <c r="B17" s="1789" t="s">
        <v>1775</v>
      </c>
      <c r="C17" s="1789"/>
      <c r="D17" s="1789"/>
      <c r="E17" s="1789"/>
      <c r="F17" s="917"/>
      <c r="G17" s="918"/>
      <c r="H17" s="918"/>
      <c r="J17" s="583"/>
      <c r="K17" s="906"/>
      <c r="L17" s="87"/>
    </row>
    <row r="18" spans="1:14" ht="27.95" customHeight="1">
      <c r="A18" s="919"/>
      <c r="B18" s="920" t="s">
        <v>1776</v>
      </c>
      <c r="C18" s="921" t="s">
        <v>1777</v>
      </c>
      <c r="D18" s="1790" t="s">
        <v>1778</v>
      </c>
      <c r="E18" s="1791"/>
      <c r="F18" s="1791"/>
      <c r="G18" s="1791"/>
      <c r="H18" s="1792"/>
      <c r="J18" s="583"/>
      <c r="K18" s="906"/>
      <c r="L18" s="87"/>
    </row>
    <row r="19" spans="1:14" ht="39.950000000000003" customHeight="1">
      <c r="A19" s="922" t="s">
        <v>1418</v>
      </c>
      <c r="B19" s="923" t="s">
        <v>1779</v>
      </c>
      <c r="C19" s="1130">
        <v>3</v>
      </c>
      <c r="D19" s="1793" t="s">
        <v>1780</v>
      </c>
      <c r="E19" s="1794"/>
      <c r="F19" s="1794"/>
      <c r="G19" s="1794"/>
      <c r="H19" s="1795"/>
      <c r="J19" s="583"/>
      <c r="L19" s="87"/>
    </row>
    <row r="20" spans="1:14" ht="39.950000000000003" customHeight="1">
      <c r="A20" s="922"/>
      <c r="B20" s="924" t="s">
        <v>1779</v>
      </c>
      <c r="C20" s="936">
        <v>11</v>
      </c>
      <c r="D20" s="1796" t="s">
        <v>2065</v>
      </c>
      <c r="E20" s="1797"/>
      <c r="F20" s="1797"/>
      <c r="G20" s="1797"/>
      <c r="H20" s="1798"/>
      <c r="I20" s="925" t="s">
        <v>1781</v>
      </c>
      <c r="J20" s="583"/>
      <c r="L20" s="87"/>
      <c r="M20" s="375">
        <v>0</v>
      </c>
      <c r="N20" s="376">
        <v>20</v>
      </c>
    </row>
    <row r="21" spans="1:14" ht="39.950000000000003" customHeight="1">
      <c r="A21" s="922"/>
      <c r="B21" s="926" t="s">
        <v>1782</v>
      </c>
      <c r="C21" s="936">
        <v>1</v>
      </c>
      <c r="D21" s="1799" t="s">
        <v>2066</v>
      </c>
      <c r="E21" s="1800"/>
      <c r="F21" s="1800"/>
      <c r="G21" s="1800"/>
      <c r="H21" s="1801"/>
      <c r="I21" s="925" t="s">
        <v>1781</v>
      </c>
      <c r="J21" s="583"/>
      <c r="L21" s="87"/>
      <c r="M21" s="375">
        <v>0</v>
      </c>
      <c r="N21" s="376">
        <v>20</v>
      </c>
    </row>
    <row r="22" spans="1:14" ht="20.100000000000001" customHeight="1">
      <c r="L22" s="87"/>
    </row>
    <row r="23" spans="1:14" ht="13.5">
      <c r="B23" s="1782" t="s">
        <v>1783</v>
      </c>
      <c r="C23" s="1782"/>
      <c r="D23" s="1782"/>
      <c r="E23" s="1782"/>
      <c r="F23" s="1782"/>
      <c r="G23" s="1782"/>
      <c r="H23" s="1782"/>
      <c r="L23" s="87"/>
    </row>
    <row r="24" spans="1:14" ht="39.950000000000003" customHeight="1">
      <c r="A24" s="927"/>
      <c r="B24" s="928" t="s">
        <v>1784</v>
      </c>
      <c r="C24" s="1137" t="s">
        <v>1785</v>
      </c>
      <c r="D24" s="1137" t="s">
        <v>1786</v>
      </c>
      <c r="E24" s="1781" t="s">
        <v>1787</v>
      </c>
      <c r="F24" s="1779"/>
      <c r="G24" s="1779"/>
      <c r="H24" s="1780"/>
      <c r="L24" s="87"/>
    </row>
    <row r="25" spans="1:14" ht="39.950000000000003" customHeight="1">
      <c r="A25" s="929">
        <v>1</v>
      </c>
      <c r="B25" s="930" t="s">
        <v>1788</v>
      </c>
      <c r="C25" s="931" t="s">
        <v>1789</v>
      </c>
      <c r="D25" s="932" t="s">
        <v>1790</v>
      </c>
      <c r="E25" s="1773"/>
      <c r="F25" s="1773"/>
      <c r="G25" s="1773"/>
      <c r="H25" s="1773"/>
      <c r="I25" s="925" t="s">
        <v>1781</v>
      </c>
      <c r="J25" s="583"/>
      <c r="L25" s="175"/>
    </row>
    <row r="26" spans="1:14" ht="39.950000000000003" customHeight="1" thickBot="1">
      <c r="A26" s="929">
        <v>2</v>
      </c>
      <c r="B26" s="933" t="s">
        <v>1791</v>
      </c>
      <c r="C26" s="931" t="s">
        <v>1789</v>
      </c>
      <c r="D26" s="932" t="s">
        <v>1790</v>
      </c>
      <c r="E26" s="1773"/>
      <c r="F26" s="1773"/>
      <c r="G26" s="1773"/>
      <c r="H26" s="1773"/>
      <c r="I26" s="1771" t="s">
        <v>1792</v>
      </c>
      <c r="J26" s="583"/>
      <c r="L26" s="163"/>
    </row>
    <row r="27" spans="1:14" ht="39.950000000000003" customHeight="1" thickBot="1">
      <c r="A27" s="929">
        <v>3</v>
      </c>
      <c r="B27" s="933" t="s">
        <v>1791</v>
      </c>
      <c r="C27" s="931" t="s">
        <v>1789</v>
      </c>
      <c r="D27" s="932" t="s">
        <v>1790</v>
      </c>
      <c r="E27" s="1773"/>
      <c r="F27" s="1773"/>
      <c r="G27" s="1773"/>
      <c r="H27" s="1773"/>
      <c r="I27" s="1771"/>
      <c r="J27" s="583"/>
      <c r="L27" s="87"/>
    </row>
    <row r="28" spans="1:14" ht="39.950000000000003" customHeight="1" thickBot="1">
      <c r="A28" s="929">
        <v>4</v>
      </c>
      <c r="B28" s="933" t="s">
        <v>1791</v>
      </c>
      <c r="C28" s="56" t="s">
        <v>1789</v>
      </c>
      <c r="D28" s="115" t="s">
        <v>2067</v>
      </c>
      <c r="E28" s="1773" t="s">
        <v>2068</v>
      </c>
      <c r="F28" s="1773"/>
      <c r="G28" s="1773"/>
      <c r="H28" s="1773"/>
      <c r="L28" s="87"/>
    </row>
    <row r="29" spans="1:14" ht="39.950000000000003" customHeight="1" thickBot="1">
      <c r="A29" s="929">
        <v>5</v>
      </c>
      <c r="B29" s="933" t="s">
        <v>1791</v>
      </c>
      <c r="C29" s="56"/>
      <c r="D29" s="115"/>
      <c r="E29" s="1775"/>
      <c r="F29" s="1776"/>
      <c r="G29" s="1776"/>
      <c r="H29" s="1777"/>
      <c r="L29" s="87"/>
    </row>
    <row r="30" spans="1:14" ht="39.950000000000003" customHeight="1" thickBot="1">
      <c r="A30" s="929">
        <v>6</v>
      </c>
      <c r="B30" s="933" t="s">
        <v>1791</v>
      </c>
      <c r="C30" s="56"/>
      <c r="D30" s="115"/>
      <c r="E30" s="1775"/>
      <c r="F30" s="1776"/>
      <c r="G30" s="1776"/>
      <c r="H30" s="1777"/>
      <c r="L30" s="87"/>
    </row>
    <row r="31" spans="1:14" ht="39.950000000000003" customHeight="1" thickBot="1">
      <c r="A31" s="929">
        <v>7</v>
      </c>
      <c r="B31" s="933" t="s">
        <v>1791</v>
      </c>
      <c r="C31" s="56"/>
      <c r="D31" s="115"/>
      <c r="E31" s="1773"/>
      <c r="F31" s="1773"/>
      <c r="G31" s="1773"/>
      <c r="H31" s="1773"/>
      <c r="L31" s="87"/>
    </row>
    <row r="32" spans="1:14" ht="20.100000000000001" customHeight="1">
      <c r="L32" s="87"/>
    </row>
    <row r="33" spans="1:12" ht="20.100000000000001" customHeight="1">
      <c r="B33" s="1782" t="s">
        <v>1793</v>
      </c>
      <c r="C33" s="1782"/>
      <c r="D33" s="1782"/>
      <c r="E33" s="1782"/>
      <c r="F33" s="1782"/>
      <c r="G33" s="1782"/>
      <c r="H33" s="1782"/>
      <c r="L33" s="87"/>
    </row>
    <row r="34" spans="1:12" ht="39.950000000000003" customHeight="1" thickBot="1">
      <c r="A34" s="927"/>
      <c r="B34" s="928" t="s">
        <v>1784</v>
      </c>
      <c r="C34" s="1137" t="s">
        <v>1785</v>
      </c>
      <c r="D34" s="1137" t="s">
        <v>1786</v>
      </c>
      <c r="E34" s="1781" t="s">
        <v>1794</v>
      </c>
      <c r="F34" s="1779"/>
      <c r="G34" s="1779"/>
      <c r="H34" s="1780"/>
      <c r="L34" s="87"/>
    </row>
    <row r="35" spans="1:12" ht="39.950000000000003" customHeight="1" thickBot="1">
      <c r="A35" s="929">
        <v>1</v>
      </c>
      <c r="B35" s="930" t="s">
        <v>314</v>
      </c>
      <c r="C35" s="56" t="s">
        <v>1789</v>
      </c>
      <c r="D35" s="1143" t="s">
        <v>2067</v>
      </c>
      <c r="E35" s="1773" t="s">
        <v>2069</v>
      </c>
      <c r="F35" s="1773"/>
      <c r="G35" s="1773"/>
      <c r="H35" s="1773"/>
      <c r="I35" s="925" t="s">
        <v>1781</v>
      </c>
      <c r="J35" s="583"/>
      <c r="L35" s="87"/>
    </row>
    <row r="36" spans="1:12" ht="39.950000000000003" customHeight="1" thickBot="1">
      <c r="A36" s="929">
        <v>2</v>
      </c>
      <c r="B36" s="930" t="s">
        <v>314</v>
      </c>
      <c r="C36" s="56" t="s">
        <v>1789</v>
      </c>
      <c r="D36" s="1143" t="s">
        <v>2067</v>
      </c>
      <c r="E36" s="1773" t="s">
        <v>2070</v>
      </c>
      <c r="F36" s="1773"/>
      <c r="G36" s="1773"/>
      <c r="H36" s="1773"/>
      <c r="L36" s="87"/>
    </row>
    <row r="37" spans="1:12" ht="39.950000000000003" customHeight="1" thickBot="1">
      <c r="A37" s="929">
        <v>3</v>
      </c>
      <c r="B37" s="930" t="s">
        <v>314</v>
      </c>
      <c r="C37" s="56" t="s">
        <v>1789</v>
      </c>
      <c r="D37" s="1143" t="s">
        <v>2067</v>
      </c>
      <c r="E37" s="1773" t="s">
        <v>1985</v>
      </c>
      <c r="F37" s="1773"/>
      <c r="G37" s="1773"/>
      <c r="H37" s="1773"/>
      <c r="L37" s="87"/>
    </row>
    <row r="38" spans="1:12" ht="20.100000000000001" customHeight="1">
      <c r="L38" s="87"/>
    </row>
    <row r="39" spans="1:12" ht="13.5">
      <c r="B39" s="1782" t="s">
        <v>1795</v>
      </c>
      <c r="C39" s="1782"/>
      <c r="D39" s="1782"/>
      <c r="E39" s="1782"/>
      <c r="F39" s="1782"/>
      <c r="G39" s="1782"/>
      <c r="H39" s="1782"/>
      <c r="L39" s="87"/>
    </row>
    <row r="40" spans="1:12" ht="39.950000000000003" customHeight="1">
      <c r="A40" s="927"/>
      <c r="B40" s="928" t="s">
        <v>1784</v>
      </c>
      <c r="C40" s="1137" t="s">
        <v>1785</v>
      </c>
      <c r="D40" s="1137" t="s">
        <v>1786</v>
      </c>
      <c r="E40" s="1781" t="s">
        <v>1796</v>
      </c>
      <c r="F40" s="1779"/>
      <c r="G40" s="1779"/>
      <c r="H40" s="1780"/>
      <c r="L40" s="87"/>
    </row>
    <row r="41" spans="1:12" ht="39.950000000000003" customHeight="1" thickBot="1">
      <c r="A41" s="929">
        <v>1</v>
      </c>
      <c r="B41" s="930" t="s">
        <v>1797</v>
      </c>
      <c r="C41" s="56" t="s">
        <v>1789</v>
      </c>
      <c r="D41" s="932" t="s">
        <v>1798</v>
      </c>
      <c r="E41" s="1773"/>
      <c r="F41" s="1773"/>
      <c r="G41" s="1773"/>
      <c r="H41" s="1773"/>
      <c r="I41" s="925" t="s">
        <v>1781</v>
      </c>
      <c r="J41" s="583"/>
      <c r="L41" s="163"/>
    </row>
    <row r="42" spans="1:12" ht="39.950000000000003" customHeight="1" thickBot="1">
      <c r="A42" s="929">
        <v>2</v>
      </c>
      <c r="B42" s="930" t="s">
        <v>1797</v>
      </c>
      <c r="C42" s="56" t="s">
        <v>1789</v>
      </c>
      <c r="D42" s="115" t="s">
        <v>2067</v>
      </c>
      <c r="E42" s="1773" t="s">
        <v>2071</v>
      </c>
      <c r="F42" s="1773"/>
      <c r="G42" s="1773"/>
      <c r="H42" s="1773"/>
      <c r="L42" s="87"/>
    </row>
    <row r="43" spans="1:12" ht="39.950000000000003" customHeight="1" thickBot="1">
      <c r="A43" s="929">
        <v>3</v>
      </c>
      <c r="B43" s="930" t="s">
        <v>1797</v>
      </c>
      <c r="C43" s="56" t="s">
        <v>1984</v>
      </c>
      <c r="D43" s="115" t="s">
        <v>2067</v>
      </c>
      <c r="E43" s="1773" t="s">
        <v>2072</v>
      </c>
      <c r="F43" s="1773"/>
      <c r="G43" s="1773"/>
      <c r="H43" s="1773"/>
      <c r="L43" s="87"/>
    </row>
    <row r="44" spans="1:12" ht="20.100000000000001" customHeight="1">
      <c r="L44" s="87"/>
    </row>
    <row r="45" spans="1:12" ht="19.5" customHeight="1">
      <c r="A45" s="915"/>
      <c r="B45" s="1774" t="s">
        <v>1799</v>
      </c>
      <c r="C45" s="1774"/>
      <c r="D45" s="1774"/>
      <c r="E45" s="1774"/>
      <c r="F45" s="1774"/>
      <c r="G45" s="1774"/>
      <c r="H45" s="1774"/>
      <c r="L45" s="87"/>
    </row>
    <row r="46" spans="1:12" ht="39.950000000000003" customHeight="1" thickBot="1">
      <c r="A46" s="927"/>
      <c r="B46" s="934" t="s">
        <v>1800</v>
      </c>
      <c r="C46" s="1138" t="s">
        <v>1785</v>
      </c>
      <c r="D46" s="1138" t="s">
        <v>1786</v>
      </c>
      <c r="E46" s="1778" t="s">
        <v>1801</v>
      </c>
      <c r="F46" s="1779"/>
      <c r="G46" s="1779"/>
      <c r="H46" s="1780"/>
      <c r="L46" s="87"/>
    </row>
    <row r="47" spans="1:12" ht="39.950000000000003" customHeight="1" thickBot="1">
      <c r="A47" s="929">
        <v>8</v>
      </c>
      <c r="B47" s="116" t="s">
        <v>2073</v>
      </c>
      <c r="C47" s="55" t="s">
        <v>1789</v>
      </c>
      <c r="D47" s="115" t="s">
        <v>2067</v>
      </c>
      <c r="E47" s="1773" t="s">
        <v>2074</v>
      </c>
      <c r="F47" s="1773"/>
      <c r="G47" s="1773"/>
      <c r="H47" s="1773"/>
      <c r="L47" s="87"/>
    </row>
    <row r="48" spans="1:12" ht="39.950000000000003" customHeight="1" thickBot="1">
      <c r="A48" s="929">
        <v>9</v>
      </c>
      <c r="B48" s="116" t="s">
        <v>1568</v>
      </c>
      <c r="C48" s="55" t="s">
        <v>1789</v>
      </c>
      <c r="D48" s="115" t="s">
        <v>2067</v>
      </c>
      <c r="E48" s="1773" t="s">
        <v>2075</v>
      </c>
      <c r="F48" s="1773"/>
      <c r="G48" s="1773"/>
      <c r="H48" s="1773"/>
      <c r="L48" s="87"/>
    </row>
    <row r="49" spans="1:12" ht="39.950000000000003" customHeight="1" thickBot="1">
      <c r="A49" s="929">
        <v>10</v>
      </c>
      <c r="B49" s="116" t="s">
        <v>1565</v>
      </c>
      <c r="C49" s="55" t="s">
        <v>1789</v>
      </c>
      <c r="D49" s="115" t="s">
        <v>2067</v>
      </c>
      <c r="E49" s="1773" t="s">
        <v>2076</v>
      </c>
      <c r="F49" s="1773"/>
      <c r="G49" s="1773"/>
      <c r="H49" s="1773"/>
      <c r="L49" s="87"/>
    </row>
    <row r="50" spans="1:12" ht="39.950000000000003" customHeight="1" thickBot="1">
      <c r="A50" s="929">
        <v>11</v>
      </c>
      <c r="B50" s="116" t="s">
        <v>1565</v>
      </c>
      <c r="C50" s="55" t="s">
        <v>1789</v>
      </c>
      <c r="D50" s="115" t="s">
        <v>2067</v>
      </c>
      <c r="E50" s="1773" t="s">
        <v>2077</v>
      </c>
      <c r="F50" s="1773"/>
      <c r="G50" s="1773"/>
      <c r="H50" s="1773"/>
      <c r="L50" s="87"/>
    </row>
    <row r="51" spans="1:12" ht="39.950000000000003" customHeight="1" thickBot="1">
      <c r="A51" s="929">
        <v>12</v>
      </c>
      <c r="B51" s="116"/>
      <c r="C51" s="55"/>
      <c r="D51" s="115"/>
      <c r="E51" s="1773"/>
      <c r="F51" s="1773"/>
      <c r="G51" s="1773"/>
      <c r="H51" s="1773"/>
      <c r="L51" s="87"/>
    </row>
    <row r="52" spans="1:12" ht="39.950000000000003" customHeight="1" thickBot="1">
      <c r="A52" s="929">
        <v>13</v>
      </c>
      <c r="B52" s="116"/>
      <c r="C52" s="55"/>
      <c r="D52" s="115"/>
      <c r="E52" s="1773"/>
      <c r="F52" s="1773"/>
      <c r="G52" s="1773"/>
      <c r="H52" s="1773"/>
      <c r="L52" s="87"/>
    </row>
    <row r="53" spans="1:12" ht="39.950000000000003" customHeight="1" thickBot="1">
      <c r="A53" s="929">
        <v>14</v>
      </c>
      <c r="B53" s="116"/>
      <c r="C53" s="55"/>
      <c r="D53" s="115"/>
      <c r="E53" s="1773"/>
      <c r="F53" s="1773"/>
      <c r="G53" s="1773"/>
      <c r="H53" s="1773"/>
      <c r="L53" s="87"/>
    </row>
    <row r="54" spans="1:12" ht="39.950000000000003" customHeight="1" thickBot="1">
      <c r="A54" s="929">
        <v>15</v>
      </c>
      <c r="B54" s="116"/>
      <c r="C54" s="55"/>
      <c r="D54" s="115"/>
      <c r="E54" s="1773"/>
      <c r="F54" s="1773"/>
      <c r="G54" s="1773"/>
      <c r="H54" s="1773"/>
      <c r="L54" s="87"/>
    </row>
    <row r="55" spans="1:12" ht="39.950000000000003" customHeight="1" thickBot="1">
      <c r="A55" s="929">
        <v>16</v>
      </c>
      <c r="B55" s="116"/>
      <c r="C55" s="55"/>
      <c r="D55" s="115"/>
      <c r="E55" s="1773"/>
      <c r="F55" s="1773"/>
      <c r="G55" s="1773"/>
      <c r="H55" s="1773"/>
      <c r="L55" s="87"/>
    </row>
    <row r="56" spans="1:12" ht="39.950000000000003" customHeight="1" thickBot="1">
      <c r="A56" s="929">
        <v>17</v>
      </c>
      <c r="B56" s="116"/>
      <c r="C56" s="55"/>
      <c r="D56" s="115"/>
      <c r="E56" s="1773"/>
      <c r="F56" s="1773"/>
      <c r="G56" s="1773"/>
      <c r="H56" s="1773"/>
      <c r="L56" s="87"/>
    </row>
    <row r="57" spans="1:12" ht="20.100000000000001" customHeight="1">
      <c r="A57" s="1772"/>
      <c r="B57" s="1772"/>
      <c r="C57" s="1772"/>
      <c r="D57" s="1772"/>
      <c r="E57" s="1772"/>
      <c r="F57" s="1772"/>
      <c r="G57" s="1772"/>
      <c r="H57" s="1772"/>
      <c r="I57" s="812"/>
      <c r="J57" s="812"/>
      <c r="K57" s="935"/>
      <c r="L57" s="190"/>
    </row>
  </sheetData>
  <sheetProtection selectLockedCells="1"/>
  <mergeCells count="48">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s>
  <phoneticPr fontId="10"/>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625" customWidth="1"/>
    <col min="3" max="3" width="5.625" customWidth="1"/>
    <col min="4" max="4" width="15.625" customWidth="1"/>
    <col min="5" max="5" width="5.625" customWidth="1"/>
    <col min="6" max="7" width="9.625" customWidth="1"/>
    <col min="8" max="8" width="24.25" customWidth="1"/>
    <col min="9" max="10" width="9.625" customWidth="1"/>
    <col min="11" max="11" width="2.625" customWidth="1"/>
    <col min="12" max="12" width="6" hidden="1" customWidth="1"/>
    <col min="13" max="13" width="2.25" style="59" hidden="1" customWidth="1"/>
    <col min="14" max="14" width="80.625" style="340" customWidth="1"/>
    <col min="15" max="16" width="0" hidden="1" customWidth="1"/>
  </cols>
  <sheetData>
    <row r="1" spans="1:16" ht="20.100000000000001" customHeight="1" thickBot="1">
      <c r="A1" s="1439" t="s">
        <v>1802</v>
      </c>
      <c r="B1" s="1439"/>
      <c r="C1" s="1439"/>
      <c r="D1" s="1439"/>
      <c r="E1" s="1439"/>
      <c r="F1" s="1439"/>
      <c r="G1" s="1439"/>
      <c r="H1" s="1439"/>
      <c r="I1" s="1439"/>
      <c r="J1" s="1439"/>
      <c r="M1" s="97"/>
    </row>
    <row r="2" spans="1:16" ht="24.95" customHeight="1" thickTop="1" thickBot="1">
      <c r="A2" s="1810" t="s">
        <v>1803</v>
      </c>
      <c r="B2" s="1810"/>
      <c r="C2" s="1810"/>
      <c r="D2" s="1810"/>
      <c r="E2" s="1810"/>
      <c r="F2" s="1810"/>
      <c r="G2" s="1810"/>
      <c r="H2" s="1810"/>
      <c r="I2" s="1811"/>
      <c r="J2" s="533" t="str">
        <f>IF('様式4（全般事項）'!G5&lt;&gt;"特定領域がん診療連携拠点病院","不要",IF(COUNTIF(L:L,"×")&gt;=1,"未入力あり","入力済"))</f>
        <v>不要</v>
      </c>
      <c r="K2" s="1234"/>
      <c r="L2" s="594"/>
      <c r="M2" s="97"/>
    </row>
    <row r="3" spans="1:16" ht="5.0999999999999996" customHeight="1" thickTop="1">
      <c r="K3" s="1234"/>
      <c r="L3" s="594"/>
    </row>
    <row r="4" spans="1:16" ht="20.100000000000001" customHeight="1">
      <c r="F4" s="937" t="s">
        <v>1222</v>
      </c>
      <c r="G4" s="1812" t="str">
        <f>表紙!E2</f>
        <v>市立豊中病院</v>
      </c>
      <c r="H4" s="1813"/>
      <c r="I4" s="1813"/>
      <c r="J4" s="1814"/>
      <c r="K4" s="1234"/>
      <c r="L4" s="594"/>
    </row>
    <row r="5" spans="1:16" ht="20.100000000000001" customHeight="1">
      <c r="G5" s="938" t="s">
        <v>1804</v>
      </c>
      <c r="H5" s="938" t="str">
        <f>+'事務局使用（発出時は非表示にすること）'!$B$4</f>
        <v>令和５年１月１日～12月31日</v>
      </c>
      <c r="I5" s="659"/>
      <c r="J5" s="659"/>
      <c r="N5" s="188" t="s">
        <v>268</v>
      </c>
    </row>
    <row r="6" spans="1:16" ht="39.950000000000003" customHeight="1" thickBot="1">
      <c r="A6" s="1802" t="s">
        <v>1805</v>
      </c>
      <c r="B6" s="1802"/>
      <c r="C6" s="1802"/>
      <c r="D6" s="1802"/>
      <c r="E6" s="1802"/>
      <c r="F6" s="1802"/>
      <c r="G6" s="1802"/>
      <c r="H6" s="1802"/>
      <c r="I6" s="1802"/>
      <c r="J6" s="1802"/>
      <c r="N6" s="87"/>
    </row>
    <row r="7" spans="1:16" s="9" customFormat="1" ht="15" customHeight="1" thickBot="1">
      <c r="A7" s="939" t="s">
        <v>1806</v>
      </c>
      <c r="B7" s="602"/>
      <c r="D7" s="41"/>
      <c r="E7" s="9" t="s">
        <v>474</v>
      </c>
      <c r="L7" s="9" t="str">
        <f>IF(D7="","×","○")</f>
        <v>×</v>
      </c>
      <c r="M7" s="59"/>
      <c r="N7" s="87"/>
    </row>
    <row r="8" spans="1:16" s="9" customFormat="1" ht="15" customHeight="1" thickBot="1">
      <c r="A8" s="939" t="s">
        <v>1807</v>
      </c>
      <c r="D8" s="41"/>
      <c r="E8" s="940" t="s">
        <v>1808</v>
      </c>
      <c r="L8" s="9" t="str">
        <f>IF(AND(D7="あり",D8=""),"×","○")</f>
        <v>○</v>
      </c>
      <c r="M8" s="59"/>
      <c r="N8" s="87"/>
    </row>
    <row r="9" spans="1:16" s="9" customFormat="1" ht="15" customHeight="1" thickBot="1">
      <c r="A9" s="941" t="s">
        <v>1809</v>
      </c>
      <c r="F9" s="1807"/>
      <c r="G9" s="1808"/>
      <c r="H9" s="1809"/>
      <c r="L9" s="9" t="str">
        <f>IF(AND(D8="その他",F9=""),"×","○")</f>
        <v>○</v>
      </c>
      <c r="M9" s="59"/>
      <c r="N9" s="87"/>
    </row>
    <row r="10" spans="1:16" s="9" customFormat="1" ht="15" customHeight="1" thickBot="1">
      <c r="A10" s="941"/>
      <c r="F10" s="585"/>
      <c r="G10" s="585"/>
      <c r="H10" s="585"/>
      <c r="M10" s="59"/>
      <c r="N10" s="87"/>
    </row>
    <row r="11" spans="1:16" s="9" customFormat="1" ht="15" customHeight="1" thickBot="1">
      <c r="B11" s="9" t="s">
        <v>1810</v>
      </c>
      <c r="C11" s="602"/>
      <c r="D11" s="1803"/>
      <c r="E11" s="1804"/>
      <c r="F11" s="1804"/>
      <c r="G11" s="1804"/>
      <c r="H11" s="1804"/>
      <c r="I11" s="1805"/>
      <c r="J11" s="602"/>
      <c r="K11" s="1234"/>
      <c r="L11" s="942" t="str">
        <f>IF(D11="","×","○")</f>
        <v>×</v>
      </c>
      <c r="M11" s="59"/>
      <c r="N11" s="87"/>
    </row>
    <row r="12" spans="1:16" s="9" customFormat="1" ht="15" customHeight="1" thickBot="1">
      <c r="B12" s="939" t="s">
        <v>1811</v>
      </c>
      <c r="I12" s="335"/>
      <c r="J12" s="9" t="s">
        <v>422</v>
      </c>
      <c r="K12" s="1234"/>
      <c r="L12" s="942" t="str">
        <f>IF(AND($D$11&lt;&gt;"",I12=""),"×","○")</f>
        <v>○</v>
      </c>
      <c r="M12" s="59"/>
      <c r="N12" s="87"/>
      <c r="O12" s="624">
        <v>0</v>
      </c>
      <c r="P12" s="632">
        <v>100000</v>
      </c>
    </row>
    <row r="13" spans="1:16" s="9" customFormat="1" ht="15" customHeight="1" thickBot="1">
      <c r="C13" s="9" t="s">
        <v>1812</v>
      </c>
      <c r="E13" s="580"/>
      <c r="F13" s="580"/>
      <c r="G13" s="943"/>
      <c r="H13" s="943"/>
      <c r="I13" s="335"/>
      <c r="J13" s="9" t="s">
        <v>422</v>
      </c>
      <c r="K13" s="1234"/>
      <c r="L13" s="942" t="str">
        <f>IF(AND($D$11&lt;&gt;"",I13=""),"×","○")</f>
        <v>○</v>
      </c>
      <c r="M13" s="59"/>
      <c r="N13" s="87"/>
      <c r="O13" s="624">
        <v>0</v>
      </c>
      <c r="P13" s="632">
        <v>100000</v>
      </c>
    </row>
    <row r="14" spans="1:16" s="9" customFormat="1" ht="15" customHeight="1" thickBot="1">
      <c r="C14" s="9" t="s">
        <v>1813</v>
      </c>
      <c r="E14" s="580"/>
      <c r="F14" s="580"/>
      <c r="G14" s="585"/>
      <c r="I14" s="944" t="str">
        <f>IF(ISERROR(I13/I12*100),"",I13/I12*100)</f>
        <v/>
      </c>
      <c r="J14" s="9" t="s">
        <v>485</v>
      </c>
      <c r="K14" s="1234"/>
      <c r="L14" s="942"/>
      <c r="M14" s="59"/>
      <c r="N14" s="87"/>
    </row>
    <row r="15" spans="1:16" s="9" customFormat="1" ht="15" customHeight="1" thickBot="1">
      <c r="B15" s="939" t="s">
        <v>1814</v>
      </c>
      <c r="E15" s="580"/>
      <c r="F15" s="580"/>
      <c r="G15" s="943"/>
      <c r="H15" s="943"/>
      <c r="I15" s="335"/>
      <c r="J15" s="9" t="s">
        <v>422</v>
      </c>
      <c r="L15" s="942" t="str">
        <f t="shared" ref="L15:L18" si="0">IF(AND($D$11&lt;&gt;"",I15=""),"×","○")</f>
        <v>○</v>
      </c>
      <c r="M15" s="59"/>
      <c r="N15" s="87"/>
    </row>
    <row r="16" spans="1:16" s="9" customFormat="1" ht="15" customHeight="1" thickBot="1">
      <c r="B16" s="939" t="s">
        <v>1815</v>
      </c>
      <c r="E16" s="580"/>
      <c r="F16" s="580"/>
      <c r="G16" s="943"/>
      <c r="H16" s="943"/>
      <c r="I16" s="335"/>
      <c r="J16" s="9" t="s">
        <v>422</v>
      </c>
      <c r="L16" s="942" t="str">
        <f t="shared" si="0"/>
        <v>○</v>
      </c>
      <c r="M16" s="59"/>
      <c r="N16" s="87"/>
      <c r="O16" s="624">
        <v>0</v>
      </c>
      <c r="P16" s="632">
        <v>1000</v>
      </c>
    </row>
    <row r="17" spans="2:16" s="9" customFormat="1" ht="15" customHeight="1" thickBot="1">
      <c r="B17" s="939" t="s">
        <v>1816</v>
      </c>
      <c r="E17" s="580"/>
      <c r="F17" s="580"/>
      <c r="G17" s="943"/>
      <c r="H17" s="943"/>
      <c r="I17" s="335"/>
      <c r="J17" s="9" t="s">
        <v>494</v>
      </c>
      <c r="L17" s="942" t="str">
        <f t="shared" si="0"/>
        <v>○</v>
      </c>
      <c r="M17" s="59"/>
      <c r="N17" s="87"/>
      <c r="O17" s="624">
        <v>0</v>
      </c>
      <c r="P17" s="632">
        <v>10000</v>
      </c>
    </row>
    <row r="18" spans="2:16" s="9" customFormat="1" ht="15" customHeight="1" thickBot="1">
      <c r="B18" s="939" t="s">
        <v>1817</v>
      </c>
      <c r="E18" s="580"/>
      <c r="F18" s="580"/>
      <c r="G18" s="943"/>
      <c r="H18" s="943"/>
      <c r="I18" s="335"/>
      <c r="J18" s="9" t="s">
        <v>494</v>
      </c>
      <c r="L18" s="942" t="str">
        <f t="shared" si="0"/>
        <v>○</v>
      </c>
      <c r="M18" s="59"/>
      <c r="N18" s="87"/>
      <c r="O18" s="624">
        <v>0</v>
      </c>
      <c r="P18" s="632">
        <v>100000</v>
      </c>
    </row>
    <row r="19" spans="2:16" s="9" customFormat="1" ht="31.5" customHeight="1" thickBot="1">
      <c r="B19" s="1802" t="s">
        <v>1818</v>
      </c>
      <c r="C19" s="1802"/>
      <c r="D19" s="1802"/>
      <c r="E19" s="1802"/>
      <c r="F19" s="1802"/>
      <c r="G19" s="1802"/>
      <c r="H19" s="1802"/>
      <c r="M19" s="59"/>
      <c r="N19" s="87"/>
    </row>
    <row r="20" spans="2:16" s="9" customFormat="1" ht="15" customHeight="1" thickBot="1">
      <c r="B20" s="939" t="s">
        <v>1819</v>
      </c>
      <c r="E20" s="580"/>
      <c r="F20" s="580"/>
      <c r="G20" s="943"/>
      <c r="H20" s="943"/>
      <c r="I20" s="335"/>
      <c r="J20" s="9" t="s">
        <v>494</v>
      </c>
      <c r="L20" s="942" t="str">
        <f>IF(AND($D$11&lt;&gt;"",I20=""),"×","○")</f>
        <v>○</v>
      </c>
      <c r="M20" s="59"/>
      <c r="N20" s="87"/>
      <c r="O20" s="624">
        <v>0</v>
      </c>
      <c r="P20" s="632">
        <v>10000</v>
      </c>
    </row>
    <row r="21" spans="2:16" s="9" customFormat="1" ht="20.25" customHeight="1">
      <c r="B21" s="1802" t="s">
        <v>1820</v>
      </c>
      <c r="C21" s="1802"/>
      <c r="D21" s="1802"/>
      <c r="E21" s="1802"/>
      <c r="F21" s="1802"/>
      <c r="G21" s="1802"/>
      <c r="H21" s="1802"/>
      <c r="M21" s="59"/>
      <c r="N21" s="87"/>
    </row>
    <row r="22" spans="2:16" s="9" customFormat="1" ht="15" customHeight="1" thickBot="1">
      <c r="E22" s="580"/>
      <c r="F22" s="580"/>
      <c r="G22" s="585"/>
      <c r="I22" s="945"/>
      <c r="M22" s="59"/>
      <c r="N22" s="87"/>
    </row>
    <row r="23" spans="2:16" s="9" customFormat="1" ht="15" customHeight="1" thickBot="1">
      <c r="B23" s="9" t="s">
        <v>1810</v>
      </c>
      <c r="C23" s="602"/>
      <c r="D23" s="1803"/>
      <c r="E23" s="1804"/>
      <c r="F23" s="1804"/>
      <c r="G23" s="1804"/>
      <c r="H23" s="1804"/>
      <c r="I23" s="1805"/>
      <c r="J23" s="602"/>
      <c r="K23" s="1234"/>
      <c r="L23" s="942"/>
      <c r="M23" s="59"/>
      <c r="N23" s="87"/>
    </row>
    <row r="24" spans="2:16" s="9" customFormat="1" ht="15" customHeight="1" thickBot="1">
      <c r="B24" s="939" t="s">
        <v>1811</v>
      </c>
      <c r="G24" s="943"/>
      <c r="H24" s="943"/>
      <c r="I24" s="335"/>
      <c r="J24" s="9" t="s">
        <v>422</v>
      </c>
      <c r="K24" s="1234"/>
      <c r="L24" s="942" t="str">
        <f>IF(AND($D$23&lt;&gt;"",I24=""),"×","○")</f>
        <v>○</v>
      </c>
      <c r="M24" s="59"/>
      <c r="N24" s="87"/>
      <c r="O24" s="624">
        <v>0</v>
      </c>
      <c r="P24" s="632">
        <v>100000</v>
      </c>
    </row>
    <row r="25" spans="2:16" s="9" customFormat="1" ht="15" customHeight="1" thickBot="1">
      <c r="C25" s="9" t="s">
        <v>1812</v>
      </c>
      <c r="E25" s="580"/>
      <c r="F25" s="580"/>
      <c r="G25" s="943"/>
      <c r="H25" s="943"/>
      <c r="I25" s="335"/>
      <c r="J25" s="9" t="s">
        <v>422</v>
      </c>
      <c r="K25" s="1234"/>
      <c r="L25" s="942" t="str">
        <f>IF(AND($D$23&lt;&gt;"",I25=""),"×","○")</f>
        <v>○</v>
      </c>
      <c r="M25" s="59"/>
      <c r="N25" s="87"/>
      <c r="O25" s="624">
        <v>0</v>
      </c>
      <c r="P25" s="632">
        <v>100000</v>
      </c>
    </row>
    <row r="26" spans="2:16" s="9" customFormat="1" ht="15" customHeight="1" thickBot="1">
      <c r="C26" s="9" t="s">
        <v>1813</v>
      </c>
      <c r="E26" s="580"/>
      <c r="F26" s="580"/>
      <c r="G26" s="585"/>
      <c r="I26" s="944" t="str">
        <f>IF(ISERROR(I25/I24*100),"",I25/I24*100)</f>
        <v/>
      </c>
      <c r="J26" s="9" t="s">
        <v>485</v>
      </c>
      <c r="K26" s="1234"/>
      <c r="L26" s="942"/>
      <c r="M26" s="59"/>
      <c r="N26" s="87"/>
    </row>
    <row r="27" spans="2:16" s="9" customFormat="1" ht="15" customHeight="1" thickBot="1">
      <c r="B27" s="939" t="s">
        <v>1814</v>
      </c>
      <c r="E27" s="580"/>
      <c r="F27" s="580"/>
      <c r="G27" s="943"/>
      <c r="H27" s="943"/>
      <c r="I27" s="335"/>
      <c r="J27" s="9" t="s">
        <v>422</v>
      </c>
      <c r="L27" s="9" t="str">
        <f t="shared" ref="L27:L30" si="1">IF(AND($D$23&lt;&gt;"",I27=""),"×","○")</f>
        <v>○</v>
      </c>
      <c r="M27" s="59"/>
      <c r="N27" s="87"/>
    </row>
    <row r="28" spans="2:16" s="9" customFormat="1" ht="15" customHeight="1" thickBot="1">
      <c r="B28" s="939" t="s">
        <v>1815</v>
      </c>
      <c r="E28" s="580"/>
      <c r="F28" s="580"/>
      <c r="G28" s="943"/>
      <c r="H28" s="943"/>
      <c r="I28" s="335"/>
      <c r="J28" s="9" t="s">
        <v>422</v>
      </c>
      <c r="L28" s="9" t="str">
        <f t="shared" si="1"/>
        <v>○</v>
      </c>
      <c r="M28" s="59"/>
      <c r="N28" s="87"/>
      <c r="O28" s="624">
        <v>0</v>
      </c>
      <c r="P28" s="632">
        <v>1000</v>
      </c>
    </row>
    <row r="29" spans="2:16" s="9" customFormat="1" ht="15" customHeight="1" thickBot="1">
      <c r="B29" s="939" t="s">
        <v>1816</v>
      </c>
      <c r="E29" s="580"/>
      <c r="F29" s="580"/>
      <c r="G29" s="943"/>
      <c r="H29" s="943"/>
      <c r="I29" s="335"/>
      <c r="J29" s="9" t="s">
        <v>494</v>
      </c>
      <c r="L29" s="9" t="str">
        <f t="shared" si="1"/>
        <v>○</v>
      </c>
      <c r="M29" s="59"/>
      <c r="N29" s="87"/>
      <c r="O29" s="624">
        <v>0</v>
      </c>
      <c r="P29" s="632">
        <v>10000</v>
      </c>
    </row>
    <row r="30" spans="2:16" s="9" customFormat="1" ht="15" customHeight="1" thickBot="1">
      <c r="B30" s="939" t="s">
        <v>1817</v>
      </c>
      <c r="E30" s="580"/>
      <c r="F30" s="580"/>
      <c r="G30" s="943"/>
      <c r="H30" s="943"/>
      <c r="I30" s="335"/>
      <c r="J30" s="9" t="s">
        <v>494</v>
      </c>
      <c r="L30" s="9" t="str">
        <f t="shared" si="1"/>
        <v>○</v>
      </c>
      <c r="M30" s="59"/>
      <c r="N30" s="87"/>
      <c r="O30" s="624">
        <v>0</v>
      </c>
      <c r="P30" s="632">
        <v>100000</v>
      </c>
    </row>
    <row r="31" spans="2:16" s="9" customFormat="1" ht="31.5" customHeight="1" thickBot="1">
      <c r="B31" s="1802" t="s">
        <v>1818</v>
      </c>
      <c r="C31" s="1802"/>
      <c r="D31" s="1802"/>
      <c r="E31" s="1802"/>
      <c r="F31" s="1802"/>
      <c r="G31" s="1802"/>
      <c r="H31" s="1802"/>
      <c r="M31" s="59"/>
      <c r="N31" s="87"/>
    </row>
    <row r="32" spans="2:16" s="9" customFormat="1" ht="15" customHeight="1" thickBot="1">
      <c r="B32" s="939" t="s">
        <v>1819</v>
      </c>
      <c r="E32" s="580"/>
      <c r="F32" s="580"/>
      <c r="G32" s="943"/>
      <c r="H32" s="943"/>
      <c r="I32" s="335"/>
      <c r="J32" s="9" t="s">
        <v>494</v>
      </c>
      <c r="L32" s="9" t="str">
        <f>IF(AND($D$23&lt;&gt;"",I32=""),"×","○")</f>
        <v>○</v>
      </c>
      <c r="M32" s="59"/>
      <c r="N32" s="87"/>
      <c r="O32" s="624">
        <v>0</v>
      </c>
      <c r="P32" s="632">
        <v>10000</v>
      </c>
    </row>
    <row r="33" spans="2:16" s="9" customFormat="1" ht="20.25" customHeight="1">
      <c r="B33" s="1802" t="s">
        <v>1820</v>
      </c>
      <c r="C33" s="1802"/>
      <c r="D33" s="1802"/>
      <c r="E33" s="1802"/>
      <c r="F33" s="1802"/>
      <c r="G33" s="1802"/>
      <c r="H33" s="1802"/>
      <c r="M33" s="59"/>
      <c r="N33" s="87"/>
    </row>
    <row r="34" spans="2:16" s="9" customFormat="1" ht="15" customHeight="1" thickBot="1">
      <c r="E34" s="580"/>
      <c r="F34" s="580"/>
      <c r="G34" s="585"/>
      <c r="I34" s="945"/>
      <c r="M34" s="59"/>
      <c r="N34" s="87"/>
    </row>
    <row r="35" spans="2:16" s="9" customFormat="1" ht="15" customHeight="1" thickBot="1">
      <c r="B35" s="9" t="s">
        <v>1810</v>
      </c>
      <c r="C35" s="602"/>
      <c r="D35" s="1803"/>
      <c r="E35" s="1804"/>
      <c r="F35" s="1804"/>
      <c r="G35" s="1804"/>
      <c r="H35" s="1804"/>
      <c r="I35" s="1806"/>
      <c r="J35" s="602"/>
      <c r="K35" s="1234"/>
      <c r="L35" s="942"/>
      <c r="M35" s="59"/>
      <c r="N35" s="87"/>
    </row>
    <row r="36" spans="2:16" s="9" customFormat="1" ht="15" customHeight="1" thickBot="1">
      <c r="B36" s="939" t="s">
        <v>1811</v>
      </c>
      <c r="G36" s="943"/>
      <c r="H36" s="943"/>
      <c r="I36" s="335"/>
      <c r="J36" s="9" t="s">
        <v>422</v>
      </c>
      <c r="K36" s="1234"/>
      <c r="L36" s="942" t="str">
        <f>IF(AND($D$35&lt;&gt;"",I36=""),"×","○")</f>
        <v>○</v>
      </c>
      <c r="M36" s="59"/>
      <c r="N36" s="87"/>
      <c r="O36" s="624">
        <v>0</v>
      </c>
      <c r="P36" s="632">
        <v>100000</v>
      </c>
    </row>
    <row r="37" spans="2:16" s="9" customFormat="1" ht="15" customHeight="1" thickBot="1">
      <c r="C37" s="9" t="s">
        <v>1812</v>
      </c>
      <c r="E37" s="580"/>
      <c r="F37" s="580"/>
      <c r="G37" s="943"/>
      <c r="H37" s="943"/>
      <c r="I37" s="335"/>
      <c r="J37" s="9" t="s">
        <v>422</v>
      </c>
      <c r="K37" s="1234"/>
      <c r="L37" s="942" t="str">
        <f>IF(AND($D$35&lt;&gt;"",I37=""),"×","○")</f>
        <v>○</v>
      </c>
      <c r="M37" s="59"/>
      <c r="N37" s="87"/>
      <c r="O37" s="624">
        <v>0</v>
      </c>
      <c r="P37" s="632">
        <v>100000</v>
      </c>
    </row>
    <row r="38" spans="2:16" s="9" customFormat="1" ht="15" customHeight="1" thickBot="1">
      <c r="C38" s="9" t="s">
        <v>1813</v>
      </c>
      <c r="E38" s="580"/>
      <c r="F38" s="580"/>
      <c r="G38" s="585"/>
      <c r="I38" s="944" t="str">
        <f>IF(ISERROR(I37/I36*100),"",I37/I36*100)</f>
        <v/>
      </c>
      <c r="J38" s="9" t="s">
        <v>485</v>
      </c>
      <c r="K38" s="1234"/>
      <c r="L38" s="942"/>
      <c r="M38" s="59"/>
      <c r="N38" s="87"/>
    </row>
    <row r="39" spans="2:16" s="9" customFormat="1" ht="15" customHeight="1" thickBot="1">
      <c r="B39" s="939" t="s">
        <v>1814</v>
      </c>
      <c r="E39" s="580"/>
      <c r="F39" s="580"/>
      <c r="G39" s="943"/>
      <c r="H39" s="943"/>
      <c r="I39" s="335"/>
      <c r="J39" s="9" t="s">
        <v>422</v>
      </c>
      <c r="L39" s="9" t="str">
        <f>IF(AND($D$35&lt;&gt;"",I39=""),"×","○")</f>
        <v>○</v>
      </c>
      <c r="M39" s="59"/>
      <c r="N39" s="87"/>
    </row>
    <row r="40" spans="2:16" s="9" customFormat="1" ht="15" customHeight="1" thickBot="1">
      <c r="B40" s="939" t="s">
        <v>1815</v>
      </c>
      <c r="E40" s="580"/>
      <c r="F40" s="580"/>
      <c r="G40" s="943"/>
      <c r="H40" s="943"/>
      <c r="I40" s="335"/>
      <c r="J40" s="9" t="s">
        <v>422</v>
      </c>
      <c r="L40" s="9" t="str">
        <f>IF(AND($D$35&lt;&gt;"",I40=""),"×","○")</f>
        <v>○</v>
      </c>
      <c r="M40" s="59"/>
      <c r="N40" s="87"/>
      <c r="O40" s="624">
        <v>0</v>
      </c>
      <c r="P40" s="632">
        <v>1000</v>
      </c>
    </row>
    <row r="41" spans="2:16" s="9" customFormat="1" ht="15" customHeight="1" thickBot="1">
      <c r="B41" s="939" t="s">
        <v>1816</v>
      </c>
      <c r="E41" s="580"/>
      <c r="F41" s="580"/>
      <c r="G41" s="943"/>
      <c r="H41" s="943"/>
      <c r="I41" s="335"/>
      <c r="J41" s="9" t="s">
        <v>494</v>
      </c>
      <c r="L41" s="9" t="str">
        <f>IF(AND($D$35&lt;&gt;"",I41=""),"×","○")</f>
        <v>○</v>
      </c>
      <c r="M41" s="59"/>
      <c r="N41" s="87"/>
      <c r="O41" s="624">
        <v>0</v>
      </c>
      <c r="P41" s="632">
        <v>10000</v>
      </c>
    </row>
    <row r="42" spans="2:16" s="9" customFormat="1" ht="15" customHeight="1" thickBot="1">
      <c r="B42" s="939" t="s">
        <v>1817</v>
      </c>
      <c r="E42" s="580"/>
      <c r="F42" s="580"/>
      <c r="G42" s="943"/>
      <c r="H42" s="943"/>
      <c r="I42" s="335"/>
      <c r="J42" s="9" t="s">
        <v>494</v>
      </c>
      <c r="L42" s="9" t="str">
        <f>IF(AND($D$35&lt;&gt;"",I42=""),"×","○")</f>
        <v>○</v>
      </c>
      <c r="M42" s="59"/>
      <c r="N42" s="87"/>
      <c r="O42" s="624">
        <v>0</v>
      </c>
      <c r="P42" s="632">
        <v>100000</v>
      </c>
    </row>
    <row r="43" spans="2:16" s="9" customFormat="1" ht="27" customHeight="1" thickBot="1">
      <c r="B43" s="1802" t="s">
        <v>1818</v>
      </c>
      <c r="C43" s="1802"/>
      <c r="D43" s="1802"/>
      <c r="E43" s="1802"/>
      <c r="F43" s="1802"/>
      <c r="G43" s="1802"/>
      <c r="H43" s="1802"/>
      <c r="M43" s="59"/>
      <c r="N43" s="87"/>
    </row>
    <row r="44" spans="2:16" s="9" customFormat="1" ht="15" customHeight="1" thickBot="1">
      <c r="B44" s="939" t="s">
        <v>1819</v>
      </c>
      <c r="E44" s="580"/>
      <c r="F44" s="580"/>
      <c r="G44" s="943"/>
      <c r="H44" s="943"/>
      <c r="I44" s="335"/>
      <c r="J44" s="9" t="s">
        <v>494</v>
      </c>
      <c r="L44" s="9" t="str">
        <f>IF(AND($D$35&lt;&gt;"",I44=""),"×","○")</f>
        <v>○</v>
      </c>
      <c r="M44" s="59"/>
      <c r="N44" s="87"/>
      <c r="O44" s="624">
        <v>0</v>
      </c>
      <c r="P44" s="632">
        <v>10000</v>
      </c>
    </row>
    <row r="45" spans="2:16" s="9" customFormat="1" ht="20.25" customHeight="1">
      <c r="B45" s="1802" t="s">
        <v>1820</v>
      </c>
      <c r="C45" s="1802"/>
      <c r="D45" s="1802"/>
      <c r="E45" s="1802"/>
      <c r="F45" s="1802"/>
      <c r="G45" s="1802"/>
      <c r="H45" s="1802"/>
      <c r="M45" s="59"/>
      <c r="N45" s="87"/>
    </row>
    <row r="46" spans="2:16" s="9" customFormat="1" ht="15" customHeight="1">
      <c r="E46" s="580"/>
      <c r="F46" s="580"/>
      <c r="G46" s="585"/>
      <c r="I46" s="946"/>
      <c r="M46" s="59"/>
      <c r="N46" s="160"/>
    </row>
    <row r="47" spans="2:16" s="9" customFormat="1" ht="15" customHeight="1">
      <c r="E47" s="580"/>
      <c r="F47" s="580"/>
      <c r="G47" s="585"/>
      <c r="I47" s="946"/>
      <c r="M47" s="59"/>
      <c r="N47" s="190"/>
    </row>
    <row r="48" spans="2:16" s="9" customFormat="1" ht="15" customHeight="1">
      <c r="E48" s="580"/>
      <c r="F48" s="580"/>
      <c r="G48" s="585"/>
      <c r="I48" s="946"/>
      <c r="M48" s="59"/>
      <c r="N48" s="120"/>
    </row>
    <row r="49" spans="5:14" s="9" customFormat="1" ht="15" customHeight="1">
      <c r="E49" s="580"/>
      <c r="F49" s="580"/>
      <c r="G49" s="585"/>
      <c r="I49" s="946"/>
      <c r="M49" s="59"/>
      <c r="N49" s="120"/>
    </row>
    <row r="50" spans="5:14" s="9" customFormat="1" ht="15" customHeight="1">
      <c r="I50" s="947"/>
      <c r="M50" s="191"/>
      <c r="N50" s="120"/>
    </row>
    <row r="51" spans="5:14" s="9" customFormat="1">
      <c r="K51" s="623"/>
      <c r="L51" s="623"/>
      <c r="M51" s="59"/>
      <c r="N51" s="120"/>
    </row>
    <row r="52" spans="5:14" s="9" customFormat="1">
      <c r="M52" s="59"/>
      <c r="N52" s="120"/>
    </row>
    <row r="53" spans="5:14" s="9" customFormat="1">
      <c r="M53" s="59"/>
      <c r="N53" s="120"/>
    </row>
    <row r="54" spans="5:14" s="9" customFormat="1">
      <c r="M54" s="59"/>
      <c r="N54" s="120"/>
    </row>
  </sheetData>
  <sheetProtection selectLockedCells="1"/>
  <mergeCells count="18">
    <mergeCell ref="A1:J1"/>
    <mergeCell ref="A6:J6"/>
    <mergeCell ref="F9:H9"/>
    <mergeCell ref="A2:I2"/>
    <mergeCell ref="G4:J4"/>
    <mergeCell ref="B45:H45"/>
    <mergeCell ref="K2:K4"/>
    <mergeCell ref="K11:K14"/>
    <mergeCell ref="D11:I11"/>
    <mergeCell ref="B19:H19"/>
    <mergeCell ref="B21:H21"/>
    <mergeCell ref="D23:I23"/>
    <mergeCell ref="K23:K26"/>
    <mergeCell ref="B31:H31"/>
    <mergeCell ref="B33:H33"/>
    <mergeCell ref="D35:I35"/>
    <mergeCell ref="K35:K38"/>
    <mergeCell ref="B43:H43"/>
  </mergeCells>
  <phoneticPr fontId="10"/>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88"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625" customWidth="1"/>
    <col min="3" max="3" width="5.625" customWidth="1"/>
    <col min="4" max="4" width="15.625" customWidth="1"/>
    <col min="5" max="5" width="5.625" customWidth="1"/>
    <col min="6" max="11" width="8.625" customWidth="1"/>
    <col min="12" max="12" width="2.625" customWidth="1"/>
    <col min="13" max="13" width="6" hidden="1" customWidth="1"/>
    <col min="14" max="14" width="2.25" style="59" hidden="1" customWidth="1"/>
    <col min="15" max="15" width="80.625" style="340" customWidth="1"/>
  </cols>
  <sheetData>
    <row r="1" spans="1:15" ht="20.100000000000001" customHeight="1" thickBot="1">
      <c r="A1" s="1439" t="s">
        <v>1821</v>
      </c>
      <c r="B1" s="1439"/>
      <c r="C1" s="1439"/>
      <c r="D1" s="1439"/>
      <c r="E1" s="1439"/>
      <c r="F1" s="1439"/>
      <c r="G1" s="1439"/>
      <c r="H1" s="1439"/>
      <c r="I1" s="1439"/>
      <c r="J1" s="1439"/>
      <c r="K1" s="1439"/>
      <c r="N1" s="97"/>
    </row>
    <row r="2" spans="1:15" ht="24.95" customHeight="1" thickTop="1" thickBot="1">
      <c r="A2" s="1810" t="s">
        <v>1822</v>
      </c>
      <c r="B2" s="1810"/>
      <c r="C2" s="1810"/>
      <c r="D2" s="1810"/>
      <c r="E2" s="1810"/>
      <c r="F2" s="1810"/>
      <c r="G2" s="1810"/>
      <c r="H2" s="1810"/>
      <c r="I2" s="1810"/>
      <c r="J2" s="1811"/>
      <c r="K2" s="533" t="str">
        <f>IF('様式4（全般事項）'!G5&lt;&gt;"特定領域がん診療連携拠点病院","不要",IF(COUNTIF(M:M,"×")&gt;=1,"未入力あり","入力済"))</f>
        <v>不要</v>
      </c>
      <c r="L2" s="1234"/>
      <c r="M2" s="594"/>
      <c r="N2" s="97"/>
    </row>
    <row r="3" spans="1:15" ht="5.0999999999999996" customHeight="1" thickTop="1">
      <c r="L3" s="1234"/>
      <c r="M3" s="594"/>
    </row>
    <row r="4" spans="1:15" ht="20.100000000000001" customHeight="1">
      <c r="F4" s="937" t="s">
        <v>1222</v>
      </c>
      <c r="G4" s="1812" t="str">
        <f>表紙!E2</f>
        <v>市立豊中病院</v>
      </c>
      <c r="H4" s="1813"/>
      <c r="I4" s="1813"/>
      <c r="J4" s="1813"/>
      <c r="K4" s="1814"/>
      <c r="L4" s="1234"/>
      <c r="M4" s="594"/>
      <c r="O4" s="188" t="s">
        <v>268</v>
      </c>
    </row>
    <row r="5" spans="1:15" ht="20.100000000000001" customHeight="1">
      <c r="F5" s="658" t="s">
        <v>1223</v>
      </c>
      <c r="G5" t="str">
        <f>+'事務局使用（発出時は非表示にすること）'!B3</f>
        <v>令和６年９月１日時点</v>
      </c>
      <c r="J5" s="659"/>
      <c r="K5" s="659"/>
      <c r="O5" s="87"/>
    </row>
    <row r="6" spans="1:15" s="9" customFormat="1" ht="39.950000000000003" customHeight="1" thickBot="1">
      <c r="A6" s="1802" t="s">
        <v>1823</v>
      </c>
      <c r="B6" s="1802"/>
      <c r="C6" s="1802"/>
      <c r="D6" s="1802"/>
      <c r="E6" s="1802"/>
      <c r="F6" s="1802"/>
      <c r="G6" s="1802"/>
      <c r="H6" s="1802"/>
      <c r="I6" s="1802"/>
      <c r="J6" s="1802"/>
      <c r="K6" s="1802"/>
      <c r="N6" s="59"/>
      <c r="O6" s="87"/>
    </row>
    <row r="7" spans="1:15" s="9" customFormat="1" ht="15" customHeight="1" thickBot="1">
      <c r="A7" s="939" t="s">
        <v>1806</v>
      </c>
      <c r="B7" s="602"/>
      <c r="D7" s="41"/>
      <c r="E7" s="602" t="s">
        <v>474</v>
      </c>
      <c r="M7" s="9" t="str">
        <f>IF(D7="","×","○")</f>
        <v>×</v>
      </c>
      <c r="N7" s="59"/>
      <c r="O7" s="87"/>
    </row>
    <row r="8" spans="1:15" s="9" customFormat="1" ht="15" customHeight="1" thickBot="1">
      <c r="A8" s="939" t="s">
        <v>1807</v>
      </c>
      <c r="D8" s="41"/>
      <c r="E8" s="948" t="s">
        <v>1808</v>
      </c>
      <c r="M8" s="9" t="str">
        <f>IF(AND(D7="あり",D8=""),"×","○")</f>
        <v>○</v>
      </c>
      <c r="N8" s="59"/>
      <c r="O8" s="87"/>
    </row>
    <row r="9" spans="1:15" s="9" customFormat="1" ht="15" customHeight="1" thickBot="1">
      <c r="A9" s="941" t="s">
        <v>1809</v>
      </c>
      <c r="F9" s="1807"/>
      <c r="G9" s="1808"/>
      <c r="H9" s="1809"/>
      <c r="M9" s="9" t="str">
        <f>IF(AND(D8="その他",F9=""),"×","○")</f>
        <v>○</v>
      </c>
      <c r="N9" s="59"/>
      <c r="O9" s="87"/>
    </row>
    <row r="10" spans="1:15" s="9" customFormat="1">
      <c r="A10" s="949"/>
      <c r="B10" s="949"/>
      <c r="C10" s="949"/>
      <c r="D10" s="949"/>
      <c r="E10" s="949"/>
      <c r="F10" s="949"/>
      <c r="G10" s="949"/>
      <c r="H10" s="949"/>
      <c r="I10" s="949"/>
      <c r="J10" s="949"/>
      <c r="K10" s="949"/>
      <c r="N10" s="59"/>
      <c r="O10" s="87"/>
    </row>
    <row r="11" spans="1:15" s="9" customFormat="1">
      <c r="A11" s="1815" t="s">
        <v>1824</v>
      </c>
      <c r="B11" s="1816"/>
      <c r="C11" s="1816"/>
      <c r="D11" s="1816"/>
      <c r="E11" s="1816"/>
      <c r="F11" s="1816"/>
      <c r="G11" s="1816"/>
      <c r="H11" s="1816"/>
      <c r="I11" s="1816"/>
      <c r="J11" s="1816"/>
      <c r="K11" s="1817"/>
      <c r="N11" s="59"/>
      <c r="O11" s="87"/>
    </row>
    <row r="12" spans="1:15" s="9" customFormat="1">
      <c r="A12" s="1818"/>
      <c r="B12" s="1819"/>
      <c r="C12" s="1819"/>
      <c r="D12" s="1819"/>
      <c r="E12" s="1819"/>
      <c r="F12" s="1819"/>
      <c r="G12" s="1819"/>
      <c r="H12" s="1819"/>
      <c r="I12" s="1819"/>
      <c r="J12" s="1819"/>
      <c r="K12" s="1820"/>
      <c r="N12" s="59"/>
      <c r="O12" s="87"/>
    </row>
    <row r="13" spans="1:15" s="9" customFormat="1">
      <c r="A13" s="1818"/>
      <c r="B13" s="1819"/>
      <c r="C13" s="1819"/>
      <c r="D13" s="1819"/>
      <c r="E13" s="1819"/>
      <c r="F13" s="1819"/>
      <c r="G13" s="1819"/>
      <c r="H13" s="1819"/>
      <c r="I13" s="1819"/>
      <c r="J13" s="1819"/>
      <c r="K13" s="1820"/>
      <c r="N13" s="59"/>
      <c r="O13" s="87"/>
    </row>
    <row r="14" spans="1:15" s="9" customFormat="1">
      <c r="A14" s="1818"/>
      <c r="B14" s="1819"/>
      <c r="C14" s="1819"/>
      <c r="D14" s="1819"/>
      <c r="E14" s="1819"/>
      <c r="F14" s="1819"/>
      <c r="G14" s="1819"/>
      <c r="H14" s="1819"/>
      <c r="I14" s="1819"/>
      <c r="J14" s="1819"/>
      <c r="K14" s="1820"/>
      <c r="N14" s="59"/>
      <c r="O14" s="87"/>
    </row>
    <row r="15" spans="1:15" s="9" customFormat="1">
      <c r="A15" s="1818"/>
      <c r="B15" s="1819"/>
      <c r="C15" s="1819"/>
      <c r="D15" s="1819"/>
      <c r="E15" s="1819"/>
      <c r="F15" s="1819"/>
      <c r="G15" s="1819"/>
      <c r="H15" s="1819"/>
      <c r="I15" s="1819"/>
      <c r="J15" s="1819"/>
      <c r="K15" s="1820"/>
      <c r="N15" s="59"/>
      <c r="O15" s="87"/>
    </row>
    <row r="16" spans="1:15" s="9" customFormat="1">
      <c r="A16" s="1818"/>
      <c r="B16" s="1819"/>
      <c r="C16" s="1819"/>
      <c r="D16" s="1819"/>
      <c r="E16" s="1819"/>
      <c r="F16" s="1819"/>
      <c r="G16" s="1819"/>
      <c r="H16" s="1819"/>
      <c r="I16" s="1819"/>
      <c r="J16" s="1819"/>
      <c r="K16" s="1820"/>
      <c r="N16" s="59"/>
      <c r="O16" s="87"/>
    </row>
    <row r="17" spans="1:15" s="9" customFormat="1">
      <c r="A17" s="1818"/>
      <c r="B17" s="1819"/>
      <c r="C17" s="1819"/>
      <c r="D17" s="1819"/>
      <c r="E17" s="1819"/>
      <c r="F17" s="1819"/>
      <c r="G17" s="1819"/>
      <c r="H17" s="1819"/>
      <c r="I17" s="1819"/>
      <c r="J17" s="1819"/>
      <c r="K17" s="1820"/>
      <c r="N17" s="59"/>
      <c r="O17" s="87"/>
    </row>
    <row r="18" spans="1:15" s="9" customFormat="1">
      <c r="A18" s="1818"/>
      <c r="B18" s="1819"/>
      <c r="C18" s="1819"/>
      <c r="D18" s="1819"/>
      <c r="E18" s="1819"/>
      <c r="F18" s="1819"/>
      <c r="G18" s="1819"/>
      <c r="H18" s="1819"/>
      <c r="I18" s="1819"/>
      <c r="J18" s="1819"/>
      <c r="K18" s="1820"/>
      <c r="N18" s="59"/>
      <c r="O18" s="87"/>
    </row>
    <row r="19" spans="1:15" s="9" customFormat="1">
      <c r="A19" s="1818"/>
      <c r="B19" s="1819"/>
      <c r="C19" s="1819"/>
      <c r="D19" s="1819"/>
      <c r="E19" s="1819"/>
      <c r="F19" s="1819"/>
      <c r="G19" s="1819"/>
      <c r="H19" s="1819"/>
      <c r="I19" s="1819"/>
      <c r="J19" s="1819"/>
      <c r="K19" s="1820"/>
      <c r="N19" s="59"/>
      <c r="O19" s="87"/>
    </row>
    <row r="20" spans="1:15" s="9" customFormat="1">
      <c r="A20" s="1818"/>
      <c r="B20" s="1819"/>
      <c r="C20" s="1819"/>
      <c r="D20" s="1819"/>
      <c r="E20" s="1819"/>
      <c r="F20" s="1819"/>
      <c r="G20" s="1819"/>
      <c r="H20" s="1819"/>
      <c r="I20" s="1819"/>
      <c r="J20" s="1819"/>
      <c r="K20" s="1820"/>
      <c r="N20" s="59"/>
      <c r="O20" s="87"/>
    </row>
    <row r="21" spans="1:15" s="9" customFormat="1">
      <c r="A21" s="1818"/>
      <c r="B21" s="1819"/>
      <c r="C21" s="1819"/>
      <c r="D21" s="1819"/>
      <c r="E21" s="1819"/>
      <c r="F21" s="1819"/>
      <c r="G21" s="1819"/>
      <c r="H21" s="1819"/>
      <c r="I21" s="1819"/>
      <c r="J21" s="1819"/>
      <c r="K21" s="1820"/>
      <c r="N21" s="59"/>
      <c r="O21" s="87"/>
    </row>
    <row r="22" spans="1:15" s="9" customFormat="1">
      <c r="A22" s="1818"/>
      <c r="B22" s="1819"/>
      <c r="C22" s="1819"/>
      <c r="D22" s="1819"/>
      <c r="E22" s="1819"/>
      <c r="F22" s="1819"/>
      <c r="G22" s="1819"/>
      <c r="H22" s="1819"/>
      <c r="I22" s="1819"/>
      <c r="J22" s="1819"/>
      <c r="K22" s="1820"/>
      <c r="N22" s="59"/>
      <c r="O22" s="87"/>
    </row>
    <row r="23" spans="1:15" s="9" customFormat="1">
      <c r="A23" s="1818"/>
      <c r="B23" s="1819"/>
      <c r="C23" s="1819"/>
      <c r="D23" s="1819"/>
      <c r="E23" s="1819"/>
      <c r="F23" s="1819"/>
      <c r="G23" s="1819"/>
      <c r="H23" s="1819"/>
      <c r="I23" s="1819"/>
      <c r="J23" s="1819"/>
      <c r="K23" s="1820"/>
      <c r="N23" s="59"/>
      <c r="O23" s="87"/>
    </row>
    <row r="24" spans="1:15" s="9" customFormat="1">
      <c r="A24" s="1818"/>
      <c r="B24" s="1819"/>
      <c r="C24" s="1819"/>
      <c r="D24" s="1819"/>
      <c r="E24" s="1819"/>
      <c r="F24" s="1819"/>
      <c r="G24" s="1819"/>
      <c r="H24" s="1819"/>
      <c r="I24" s="1819"/>
      <c r="J24" s="1819"/>
      <c r="K24" s="1820"/>
      <c r="N24" s="59"/>
      <c r="O24" s="87"/>
    </row>
    <row r="25" spans="1:15" s="9" customFormat="1">
      <c r="A25" s="1818"/>
      <c r="B25" s="1819"/>
      <c r="C25" s="1819"/>
      <c r="D25" s="1819"/>
      <c r="E25" s="1819"/>
      <c r="F25" s="1819"/>
      <c r="G25" s="1819"/>
      <c r="H25" s="1819"/>
      <c r="I25" s="1819"/>
      <c r="J25" s="1819"/>
      <c r="K25" s="1820"/>
      <c r="N25" s="59"/>
      <c r="O25" s="87"/>
    </row>
    <row r="26" spans="1:15" s="9" customFormat="1">
      <c r="A26" s="1818"/>
      <c r="B26" s="1819"/>
      <c r="C26" s="1819"/>
      <c r="D26" s="1819"/>
      <c r="E26" s="1819"/>
      <c r="F26" s="1819"/>
      <c r="G26" s="1819"/>
      <c r="H26" s="1819"/>
      <c r="I26" s="1819"/>
      <c r="J26" s="1819"/>
      <c r="K26" s="1820"/>
      <c r="N26" s="59"/>
      <c r="O26" s="87"/>
    </row>
    <row r="27" spans="1:15" s="9" customFormat="1">
      <c r="A27" s="1818"/>
      <c r="B27" s="1819"/>
      <c r="C27" s="1819"/>
      <c r="D27" s="1819"/>
      <c r="E27" s="1819"/>
      <c r="F27" s="1819"/>
      <c r="G27" s="1819"/>
      <c r="H27" s="1819"/>
      <c r="I27" s="1819"/>
      <c r="J27" s="1819"/>
      <c r="K27" s="1820"/>
      <c r="N27" s="59"/>
      <c r="O27" s="87"/>
    </row>
    <row r="28" spans="1:15" s="9" customFormat="1">
      <c r="A28" s="1818"/>
      <c r="B28" s="1819"/>
      <c r="C28" s="1819"/>
      <c r="D28" s="1819"/>
      <c r="E28" s="1819"/>
      <c r="F28" s="1819"/>
      <c r="G28" s="1819"/>
      <c r="H28" s="1819"/>
      <c r="I28" s="1819"/>
      <c r="J28" s="1819"/>
      <c r="K28" s="1820"/>
      <c r="N28" s="59"/>
      <c r="O28" s="87"/>
    </row>
    <row r="29" spans="1:15" s="9" customFormat="1">
      <c r="A29" s="1818"/>
      <c r="B29" s="1819"/>
      <c r="C29" s="1819"/>
      <c r="D29" s="1819"/>
      <c r="E29" s="1819"/>
      <c r="F29" s="1819"/>
      <c r="G29" s="1819"/>
      <c r="H29" s="1819"/>
      <c r="I29" s="1819"/>
      <c r="J29" s="1819"/>
      <c r="K29" s="1820"/>
      <c r="N29" s="59"/>
      <c r="O29" s="87"/>
    </row>
    <row r="30" spans="1:15" s="9" customFormat="1">
      <c r="A30" s="1818"/>
      <c r="B30" s="1819"/>
      <c r="C30" s="1819"/>
      <c r="D30" s="1819"/>
      <c r="E30" s="1819"/>
      <c r="F30" s="1819"/>
      <c r="G30" s="1819"/>
      <c r="H30" s="1819"/>
      <c r="I30" s="1819"/>
      <c r="J30" s="1819"/>
      <c r="K30" s="1820"/>
      <c r="N30" s="59"/>
      <c r="O30" s="87"/>
    </row>
    <row r="31" spans="1:15" s="9" customFormat="1">
      <c r="A31" s="1818"/>
      <c r="B31" s="1819"/>
      <c r="C31" s="1819"/>
      <c r="D31" s="1819"/>
      <c r="E31" s="1819"/>
      <c r="F31" s="1819"/>
      <c r="G31" s="1819"/>
      <c r="H31" s="1819"/>
      <c r="I31" s="1819"/>
      <c r="J31" s="1819"/>
      <c r="K31" s="1820"/>
      <c r="N31" s="59"/>
      <c r="O31" s="87"/>
    </row>
    <row r="32" spans="1:15" s="9" customFormat="1">
      <c r="A32" s="1818"/>
      <c r="B32" s="1819"/>
      <c r="C32" s="1819"/>
      <c r="D32" s="1819"/>
      <c r="E32" s="1819"/>
      <c r="F32" s="1819"/>
      <c r="G32" s="1819"/>
      <c r="H32" s="1819"/>
      <c r="I32" s="1819"/>
      <c r="J32" s="1819"/>
      <c r="K32" s="1820"/>
      <c r="N32" s="59"/>
      <c r="O32" s="87"/>
    </row>
    <row r="33" spans="1:15" s="9" customFormat="1">
      <c r="A33" s="1818"/>
      <c r="B33" s="1819"/>
      <c r="C33" s="1819"/>
      <c r="D33" s="1819"/>
      <c r="E33" s="1819"/>
      <c r="F33" s="1819"/>
      <c r="G33" s="1819"/>
      <c r="H33" s="1819"/>
      <c r="I33" s="1819"/>
      <c r="J33" s="1819"/>
      <c r="K33" s="1820"/>
      <c r="N33" s="59"/>
      <c r="O33" s="87"/>
    </row>
    <row r="34" spans="1:15" s="9" customFormat="1">
      <c r="A34" s="1818"/>
      <c r="B34" s="1819"/>
      <c r="C34" s="1819"/>
      <c r="D34" s="1819"/>
      <c r="E34" s="1819"/>
      <c r="F34" s="1819"/>
      <c r="G34" s="1819"/>
      <c r="H34" s="1819"/>
      <c r="I34" s="1819"/>
      <c r="J34" s="1819"/>
      <c r="K34" s="1820"/>
      <c r="N34" s="59"/>
      <c r="O34" s="87"/>
    </row>
    <row r="35" spans="1:15" s="9" customFormat="1">
      <c r="A35" s="1818"/>
      <c r="B35" s="1819"/>
      <c r="C35" s="1819"/>
      <c r="D35" s="1819"/>
      <c r="E35" s="1819"/>
      <c r="F35" s="1819"/>
      <c r="G35" s="1819"/>
      <c r="H35" s="1819"/>
      <c r="I35" s="1819"/>
      <c r="J35" s="1819"/>
      <c r="K35" s="1820"/>
      <c r="N35" s="59"/>
      <c r="O35" s="87"/>
    </row>
    <row r="36" spans="1:15" s="9" customFormat="1">
      <c r="A36" s="1818"/>
      <c r="B36" s="1819"/>
      <c r="C36" s="1819"/>
      <c r="D36" s="1819"/>
      <c r="E36" s="1819"/>
      <c r="F36" s="1819"/>
      <c r="G36" s="1819"/>
      <c r="H36" s="1819"/>
      <c r="I36" s="1819"/>
      <c r="J36" s="1819"/>
      <c r="K36" s="1820"/>
      <c r="N36" s="59"/>
      <c r="O36" s="87"/>
    </row>
    <row r="37" spans="1:15" s="9" customFormat="1">
      <c r="A37" s="1818"/>
      <c r="B37" s="1819"/>
      <c r="C37" s="1819"/>
      <c r="D37" s="1819"/>
      <c r="E37" s="1819"/>
      <c r="F37" s="1819"/>
      <c r="G37" s="1819"/>
      <c r="H37" s="1819"/>
      <c r="I37" s="1819"/>
      <c r="J37" s="1819"/>
      <c r="K37" s="1820"/>
      <c r="N37" s="59"/>
      <c r="O37" s="87"/>
    </row>
    <row r="38" spans="1:15" s="9" customFormat="1">
      <c r="A38" s="1818"/>
      <c r="B38" s="1819"/>
      <c r="C38" s="1819"/>
      <c r="D38" s="1819"/>
      <c r="E38" s="1819"/>
      <c r="F38" s="1819"/>
      <c r="G38" s="1819"/>
      <c r="H38" s="1819"/>
      <c r="I38" s="1819"/>
      <c r="J38" s="1819"/>
      <c r="K38" s="1820"/>
      <c r="N38" s="59"/>
      <c r="O38" s="87"/>
    </row>
    <row r="39" spans="1:15" s="9" customFormat="1">
      <c r="A39" s="1818"/>
      <c r="B39" s="1819"/>
      <c r="C39" s="1819"/>
      <c r="D39" s="1819"/>
      <c r="E39" s="1819"/>
      <c r="F39" s="1819"/>
      <c r="G39" s="1819"/>
      <c r="H39" s="1819"/>
      <c r="I39" s="1819"/>
      <c r="J39" s="1819"/>
      <c r="K39" s="1820"/>
      <c r="N39" s="59"/>
      <c r="O39" s="87"/>
    </row>
    <row r="40" spans="1:15" s="9" customFormat="1">
      <c r="A40" s="1818"/>
      <c r="B40" s="1819"/>
      <c r="C40" s="1819"/>
      <c r="D40" s="1819"/>
      <c r="E40" s="1819"/>
      <c r="F40" s="1819"/>
      <c r="G40" s="1819"/>
      <c r="H40" s="1819"/>
      <c r="I40" s="1819"/>
      <c r="J40" s="1819"/>
      <c r="K40" s="1820"/>
      <c r="N40" s="59"/>
      <c r="O40" s="87"/>
    </row>
    <row r="41" spans="1:15" s="9" customFormat="1">
      <c r="A41" s="1818"/>
      <c r="B41" s="1819"/>
      <c r="C41" s="1819"/>
      <c r="D41" s="1819"/>
      <c r="E41" s="1819"/>
      <c r="F41" s="1819"/>
      <c r="G41" s="1819"/>
      <c r="H41" s="1819"/>
      <c r="I41" s="1819"/>
      <c r="J41" s="1819"/>
      <c r="K41" s="1820"/>
      <c r="N41" s="59"/>
      <c r="O41" s="87"/>
    </row>
    <row r="42" spans="1:15" s="9" customFormat="1">
      <c r="A42" s="1818"/>
      <c r="B42" s="1819"/>
      <c r="C42" s="1819"/>
      <c r="D42" s="1819"/>
      <c r="E42" s="1819"/>
      <c r="F42" s="1819"/>
      <c r="G42" s="1819"/>
      <c r="H42" s="1819"/>
      <c r="I42" s="1819"/>
      <c r="J42" s="1819"/>
      <c r="K42" s="1820"/>
      <c r="N42" s="59"/>
      <c r="O42" s="87"/>
    </row>
    <row r="43" spans="1:15" s="9" customFormat="1">
      <c r="A43" s="1818"/>
      <c r="B43" s="1819"/>
      <c r="C43" s="1819"/>
      <c r="D43" s="1819"/>
      <c r="E43" s="1819"/>
      <c r="F43" s="1819"/>
      <c r="G43" s="1819"/>
      <c r="H43" s="1819"/>
      <c r="I43" s="1819"/>
      <c r="J43" s="1819"/>
      <c r="K43" s="1820"/>
      <c r="N43" s="59"/>
      <c r="O43" s="87"/>
    </row>
    <row r="44" spans="1:15" s="9" customFormat="1">
      <c r="A44" s="1818"/>
      <c r="B44" s="1819"/>
      <c r="C44" s="1819"/>
      <c r="D44" s="1819"/>
      <c r="E44" s="1819"/>
      <c r="F44" s="1819"/>
      <c r="G44" s="1819"/>
      <c r="H44" s="1819"/>
      <c r="I44" s="1819"/>
      <c r="J44" s="1819"/>
      <c r="K44" s="1820"/>
      <c r="N44" s="59"/>
      <c r="O44" s="87"/>
    </row>
    <row r="45" spans="1:15" s="9" customFormat="1">
      <c r="A45" s="1818"/>
      <c r="B45" s="1819"/>
      <c r="C45" s="1819"/>
      <c r="D45" s="1819"/>
      <c r="E45" s="1819"/>
      <c r="F45" s="1819"/>
      <c r="G45" s="1819"/>
      <c r="H45" s="1819"/>
      <c r="I45" s="1819"/>
      <c r="J45" s="1819"/>
      <c r="K45" s="1820"/>
      <c r="N45" s="59"/>
      <c r="O45" s="87"/>
    </row>
    <row r="46" spans="1:15" s="9" customFormat="1">
      <c r="A46" s="1818"/>
      <c r="B46" s="1819"/>
      <c r="C46" s="1819"/>
      <c r="D46" s="1819"/>
      <c r="E46" s="1819"/>
      <c r="F46" s="1819"/>
      <c r="G46" s="1819"/>
      <c r="H46" s="1819"/>
      <c r="I46" s="1819"/>
      <c r="J46" s="1819"/>
      <c r="K46" s="1820"/>
      <c r="N46" s="59"/>
      <c r="O46" s="87"/>
    </row>
    <row r="47" spans="1:15" s="9" customFormat="1">
      <c r="A47" s="1818"/>
      <c r="B47" s="1819"/>
      <c r="C47" s="1819"/>
      <c r="D47" s="1819"/>
      <c r="E47" s="1819"/>
      <c r="F47" s="1819"/>
      <c r="G47" s="1819"/>
      <c r="H47" s="1819"/>
      <c r="I47" s="1819"/>
      <c r="J47" s="1819"/>
      <c r="K47" s="1820"/>
      <c r="N47" s="59"/>
      <c r="O47" s="87"/>
    </row>
    <row r="48" spans="1:15" s="9" customFormat="1">
      <c r="A48" s="1818"/>
      <c r="B48" s="1819"/>
      <c r="C48" s="1819"/>
      <c r="D48" s="1819"/>
      <c r="E48" s="1819"/>
      <c r="F48" s="1819"/>
      <c r="G48" s="1819"/>
      <c r="H48" s="1819"/>
      <c r="I48" s="1819"/>
      <c r="J48" s="1819"/>
      <c r="K48" s="1820"/>
      <c r="N48" s="59"/>
      <c r="O48" s="87"/>
    </row>
    <row r="49" spans="1:15" s="9" customFormat="1">
      <c r="A49" s="1818"/>
      <c r="B49" s="1819"/>
      <c r="C49" s="1819"/>
      <c r="D49" s="1819"/>
      <c r="E49" s="1819"/>
      <c r="F49" s="1819"/>
      <c r="G49" s="1819"/>
      <c r="H49" s="1819"/>
      <c r="I49" s="1819"/>
      <c r="J49" s="1819"/>
      <c r="K49" s="1820"/>
      <c r="N49" s="59"/>
      <c r="O49" s="87"/>
    </row>
    <row r="50" spans="1:15" s="9" customFormat="1">
      <c r="A50" s="1818"/>
      <c r="B50" s="1819"/>
      <c r="C50" s="1819"/>
      <c r="D50" s="1819"/>
      <c r="E50" s="1819"/>
      <c r="F50" s="1819"/>
      <c r="G50" s="1819"/>
      <c r="H50" s="1819"/>
      <c r="I50" s="1819"/>
      <c r="J50" s="1819"/>
      <c r="K50" s="1820"/>
      <c r="N50" s="59"/>
      <c r="O50" s="87"/>
    </row>
    <row r="51" spans="1:15" s="9" customFormat="1">
      <c r="A51" s="1818"/>
      <c r="B51" s="1819"/>
      <c r="C51" s="1819"/>
      <c r="D51" s="1819"/>
      <c r="E51" s="1819"/>
      <c r="F51" s="1819"/>
      <c r="G51" s="1819"/>
      <c r="H51" s="1819"/>
      <c r="I51" s="1819"/>
      <c r="J51" s="1819"/>
      <c r="K51" s="1820"/>
      <c r="N51" s="59"/>
      <c r="O51" s="87"/>
    </row>
    <row r="52" spans="1:15" s="9" customFormat="1">
      <c r="A52" s="1818"/>
      <c r="B52" s="1819"/>
      <c r="C52" s="1819"/>
      <c r="D52" s="1819"/>
      <c r="E52" s="1819"/>
      <c r="F52" s="1819"/>
      <c r="G52" s="1819"/>
      <c r="H52" s="1819"/>
      <c r="I52" s="1819"/>
      <c r="J52" s="1819"/>
      <c r="K52" s="1820"/>
      <c r="N52" s="59"/>
      <c r="O52" s="87"/>
    </row>
    <row r="53" spans="1:15" s="9" customFormat="1">
      <c r="A53" s="1818"/>
      <c r="B53" s="1819"/>
      <c r="C53" s="1819"/>
      <c r="D53" s="1819"/>
      <c r="E53" s="1819"/>
      <c r="F53" s="1819"/>
      <c r="G53" s="1819"/>
      <c r="H53" s="1819"/>
      <c r="I53" s="1819"/>
      <c r="J53" s="1819"/>
      <c r="K53" s="1820"/>
      <c r="N53" s="59"/>
      <c r="O53" s="87"/>
    </row>
    <row r="54" spans="1:15" s="9" customFormat="1">
      <c r="A54" s="1818"/>
      <c r="B54" s="1819"/>
      <c r="C54" s="1819"/>
      <c r="D54" s="1819"/>
      <c r="E54" s="1819"/>
      <c r="F54" s="1819"/>
      <c r="G54" s="1819"/>
      <c r="H54" s="1819"/>
      <c r="I54" s="1819"/>
      <c r="J54" s="1819"/>
      <c r="K54" s="1820"/>
      <c r="N54" s="59"/>
      <c r="O54" s="87"/>
    </row>
    <row r="55" spans="1:15" s="9" customFormat="1" ht="12">
      <c r="A55" s="1818"/>
      <c r="B55" s="1819"/>
      <c r="C55" s="1819"/>
      <c r="D55" s="1819"/>
      <c r="E55" s="1819"/>
      <c r="F55" s="1819"/>
      <c r="G55" s="1819"/>
      <c r="H55" s="1819"/>
      <c r="I55" s="1819"/>
      <c r="J55" s="1819"/>
      <c r="K55" s="1820"/>
      <c r="N55" s="191"/>
      <c r="O55" s="87"/>
    </row>
    <row r="56" spans="1:15" s="9" customFormat="1">
      <c r="A56" s="1818"/>
      <c r="B56" s="1819"/>
      <c r="C56" s="1819"/>
      <c r="D56" s="1819"/>
      <c r="E56" s="1819"/>
      <c r="F56" s="1819"/>
      <c r="G56" s="1819"/>
      <c r="H56" s="1819"/>
      <c r="I56" s="1819"/>
      <c r="J56" s="1819"/>
      <c r="K56" s="1820"/>
      <c r="N56" s="59"/>
      <c r="O56" s="87"/>
    </row>
    <row r="57" spans="1:15" s="9" customFormat="1">
      <c r="A57" s="1818"/>
      <c r="B57" s="1819"/>
      <c r="C57" s="1819"/>
      <c r="D57" s="1819"/>
      <c r="E57" s="1819"/>
      <c r="F57" s="1819"/>
      <c r="G57" s="1819"/>
      <c r="H57" s="1819"/>
      <c r="I57" s="1819"/>
      <c r="J57" s="1819"/>
      <c r="K57" s="1820"/>
      <c r="N57" s="59"/>
      <c r="O57" s="87"/>
    </row>
    <row r="58" spans="1:15" s="9" customFormat="1">
      <c r="A58" s="1818"/>
      <c r="B58" s="1819"/>
      <c r="C58" s="1819"/>
      <c r="D58" s="1819"/>
      <c r="E58" s="1819"/>
      <c r="F58" s="1819"/>
      <c r="G58" s="1819"/>
      <c r="H58" s="1819"/>
      <c r="I58" s="1819"/>
      <c r="J58" s="1819"/>
      <c r="K58" s="1820"/>
      <c r="N58" s="59"/>
      <c r="O58" s="87"/>
    </row>
    <row r="59" spans="1:15" s="9" customFormat="1">
      <c r="A59" s="1821"/>
      <c r="B59" s="1822"/>
      <c r="C59" s="1822"/>
      <c r="D59" s="1822"/>
      <c r="E59" s="1822"/>
      <c r="F59" s="1822"/>
      <c r="G59" s="1822"/>
      <c r="H59" s="1822"/>
      <c r="I59" s="1822"/>
      <c r="J59" s="1822"/>
      <c r="K59" s="1823"/>
      <c r="N59" s="59"/>
      <c r="O59" s="160"/>
    </row>
    <row r="60" spans="1:15" s="9" customFormat="1">
      <c r="L60" s="623"/>
      <c r="M60" s="623"/>
      <c r="N60" s="59"/>
      <c r="O60" s="120"/>
    </row>
    <row r="61" spans="1:15" s="9" customFormat="1">
      <c r="N61" s="59"/>
      <c r="O61" s="120"/>
    </row>
    <row r="62" spans="1:15" s="9" customFormat="1">
      <c r="N62" s="59"/>
      <c r="O62" s="120"/>
    </row>
    <row r="63" spans="1:15" s="9" customFormat="1">
      <c r="N63" s="59"/>
      <c r="O63" s="120"/>
    </row>
    <row r="64" spans="1:15" s="9" customFormat="1">
      <c r="N64" s="59"/>
      <c r="O64" s="120"/>
    </row>
    <row r="65" spans="14:15" s="9" customFormat="1">
      <c r="N65" s="59"/>
      <c r="O65" s="120"/>
    </row>
    <row r="66" spans="14:15" s="9" customFormat="1">
      <c r="N66" s="59"/>
      <c r="O66" s="120"/>
    </row>
    <row r="67" spans="14:15" s="9" customFormat="1">
      <c r="N67" s="59"/>
      <c r="O67" s="120"/>
    </row>
    <row r="68" spans="14:15" s="9" customFormat="1">
      <c r="N68" s="59"/>
      <c r="O68" s="120"/>
    </row>
    <row r="69" spans="14:15" s="9" customFormat="1">
      <c r="N69" s="59"/>
      <c r="O69" s="120"/>
    </row>
  </sheetData>
  <sheetProtection selectLockedCells="1"/>
  <mergeCells count="7">
    <mergeCell ref="L2:L4"/>
    <mergeCell ref="A11:K59"/>
    <mergeCell ref="F9:H9"/>
    <mergeCell ref="A1:K1"/>
    <mergeCell ref="A6:K6"/>
    <mergeCell ref="A2:J2"/>
    <mergeCell ref="G4:K4"/>
  </mergeCells>
  <phoneticPr fontId="10"/>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fitToHeight="0"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Normal="115" zoomScaleSheetLayoutView="100" workbookViewId="0"/>
  </sheetViews>
  <sheetFormatPr defaultColWidth="9" defaultRowHeight="14.25"/>
  <cols>
    <col min="1" max="1" width="4.625" style="3" customWidth="1"/>
    <col min="2" max="3" width="8.625" style="3" customWidth="1"/>
    <col min="4" max="4" width="10.625" style="48" customWidth="1"/>
    <col min="5" max="5" width="36.125" style="48" customWidth="1"/>
    <col min="6" max="6" width="52.75" style="8" customWidth="1"/>
    <col min="7" max="7" width="3.75" style="37" customWidth="1"/>
    <col min="8" max="8" width="83.625" style="120" bestFit="1" customWidth="1"/>
    <col min="9" max="13" width="9" style="96"/>
    <col min="14" max="16384" width="9" style="3"/>
  </cols>
  <sheetData>
    <row r="1" spans="1:15" s="17" customFormat="1" ht="18" thickBot="1">
      <c r="B1" s="18" t="s">
        <v>185</v>
      </c>
      <c r="C1" s="18"/>
      <c r="D1" s="18"/>
      <c r="E1" s="18"/>
      <c r="G1" s="36"/>
      <c r="H1" s="159"/>
      <c r="I1" s="101"/>
      <c r="J1" s="101"/>
      <c r="K1" s="101"/>
      <c r="L1" s="101"/>
      <c r="M1" s="101"/>
      <c r="N1" s="101"/>
      <c r="O1" s="101"/>
    </row>
    <row r="2" spans="1:15" ht="24" customHeight="1" thickBot="1">
      <c r="D2" s="11" t="s">
        <v>186</v>
      </c>
      <c r="E2" s="1176" t="s">
        <v>1918</v>
      </c>
      <c r="F2" s="1177"/>
      <c r="H2" s="86" t="s">
        <v>187</v>
      </c>
      <c r="I2" s="102"/>
      <c r="N2" s="96"/>
      <c r="O2" s="96"/>
    </row>
    <row r="3" spans="1:15" customFormat="1" ht="13.5" customHeight="1">
      <c r="G3" s="14"/>
      <c r="H3" s="87"/>
      <c r="I3" s="59"/>
      <c r="J3" s="59"/>
      <c r="K3" s="59"/>
      <c r="L3" s="59"/>
      <c r="M3" s="59"/>
      <c r="N3" s="59"/>
      <c r="O3" s="59"/>
    </row>
    <row r="4" spans="1:15" customFormat="1" ht="24" customHeight="1">
      <c r="A4" s="3"/>
      <c r="D4" s="658" t="s">
        <v>188</v>
      </c>
      <c r="E4" s="1172" t="str">
        <f>+'様式4（全般事項）'!G5</f>
        <v>地域がん診療連携拠点病院</v>
      </c>
      <c r="F4" s="1173"/>
      <c r="G4" s="14"/>
      <c r="H4" s="87"/>
      <c r="I4" s="59"/>
      <c r="J4" s="59"/>
      <c r="K4" s="59"/>
      <c r="L4" s="59"/>
      <c r="M4" s="59"/>
      <c r="N4" s="59"/>
      <c r="O4" s="59"/>
    </row>
    <row r="5" spans="1:15" ht="5.0999999999999996" customHeight="1">
      <c r="B5" s="19"/>
      <c r="C5" s="19"/>
      <c r="F5" s="20"/>
      <c r="H5" s="87"/>
    </row>
    <row r="6" spans="1:15" ht="5.0999999999999996" customHeight="1">
      <c r="A6" s="4"/>
      <c r="B6" s="4"/>
      <c r="C6" s="4"/>
      <c r="D6" s="21"/>
      <c r="E6" s="21"/>
      <c r="F6" s="22"/>
      <c r="H6" s="87"/>
    </row>
    <row r="7" spans="1:15" s="9" customFormat="1" ht="21">
      <c r="A7" s="5"/>
      <c r="B7" s="29" t="s">
        <v>189</v>
      </c>
      <c r="C7" s="5"/>
      <c r="D7" s="23" t="s">
        <v>190</v>
      </c>
      <c r="E7" s="24"/>
      <c r="F7" s="6"/>
      <c r="G7" s="15"/>
      <c r="H7" s="87"/>
      <c r="I7" s="61"/>
      <c r="J7" s="61"/>
      <c r="K7" s="61"/>
      <c r="L7" s="61"/>
      <c r="M7" s="61"/>
    </row>
    <row r="8" spans="1:15" s="28" customFormat="1" ht="15" customHeight="1">
      <c r="A8" s="25"/>
      <c r="B8" s="7" t="e">
        <f>IF(OR(#REF!="",#REF!="",#REF!="",#REF!="",#REF!="",#REF!=""),"未入力あり","入力済")</f>
        <v>#REF!</v>
      </c>
      <c r="C8" s="25"/>
      <c r="D8" s="26" t="s">
        <v>191</v>
      </c>
      <c r="E8" s="26"/>
      <c r="F8" s="27" t="s">
        <v>192</v>
      </c>
      <c r="G8" s="13"/>
      <c r="H8" s="87"/>
      <c r="I8" s="72"/>
      <c r="J8" s="103"/>
      <c r="K8" s="103"/>
      <c r="L8" s="103"/>
      <c r="M8" s="103"/>
    </row>
    <row r="9" spans="1:15" s="28" customFormat="1" ht="15" customHeight="1">
      <c r="A9" s="25"/>
      <c r="B9" s="39" t="str">
        <f>IF('様式4（全般事項）'!V1="✔チェック欄に未入力なし","入力済","未入力あり")</f>
        <v>入力済</v>
      </c>
      <c r="C9" s="25"/>
      <c r="D9" s="26" t="s">
        <v>193</v>
      </c>
      <c r="E9" s="26"/>
      <c r="F9" s="27" t="s">
        <v>194</v>
      </c>
      <c r="G9" s="13"/>
      <c r="H9" s="87"/>
      <c r="I9" s="104"/>
      <c r="J9" s="103"/>
      <c r="K9" s="103"/>
      <c r="L9" s="103"/>
      <c r="M9" s="103"/>
    </row>
    <row r="10" spans="1:15" s="28" customFormat="1" ht="15" customHeight="1">
      <c r="A10" s="25"/>
      <c r="B10" s="39" t="str">
        <f>IF('様式４(機能別)'!K2="未入力の必須要件があります。","未入力あり","入力済")</f>
        <v>入力済</v>
      </c>
      <c r="C10" s="25"/>
      <c r="D10" s="26" t="s">
        <v>193</v>
      </c>
      <c r="E10" s="26"/>
      <c r="F10" s="27" t="s">
        <v>195</v>
      </c>
      <c r="G10" s="13"/>
      <c r="H10" s="87"/>
      <c r="I10" s="103"/>
      <c r="J10" s="103"/>
      <c r="K10" s="103"/>
      <c r="L10" s="103"/>
      <c r="M10" s="103"/>
    </row>
    <row r="11" spans="1:15" customFormat="1" ht="5.0999999999999996" customHeight="1">
      <c r="A11" s="10"/>
      <c r="B11" s="10"/>
      <c r="C11" s="10"/>
      <c r="D11" s="16"/>
      <c r="E11" s="16"/>
      <c r="F11" s="45"/>
      <c r="G11" s="14"/>
      <c r="H11" s="87"/>
      <c r="I11" s="59"/>
      <c r="J11" s="59"/>
      <c r="K11" s="59"/>
      <c r="L11" s="59"/>
      <c r="M11" s="59"/>
    </row>
    <row r="12" spans="1:15" s="9" customFormat="1" ht="27.75" customHeight="1">
      <c r="A12" s="5"/>
      <c r="B12" s="5"/>
      <c r="C12" s="5"/>
      <c r="D12" s="23" t="s">
        <v>196</v>
      </c>
      <c r="E12" s="1171" t="s">
        <v>197</v>
      </c>
      <c r="F12" s="1171"/>
      <c r="G12" s="15"/>
      <c r="H12" s="87"/>
      <c r="I12" s="61"/>
      <c r="J12" s="61"/>
      <c r="K12" s="61"/>
      <c r="L12" s="61"/>
      <c r="M12" s="61"/>
    </row>
    <row r="13" spans="1:15" s="28" customFormat="1" ht="31.5">
      <c r="A13" s="7"/>
      <c r="B13" s="29" t="s">
        <v>198</v>
      </c>
      <c r="C13" s="30" t="s">
        <v>199</v>
      </c>
      <c r="D13" s="79" t="s">
        <v>200</v>
      </c>
      <c r="E13" s="26" t="s">
        <v>201</v>
      </c>
      <c r="F13" s="31" t="s">
        <v>202</v>
      </c>
      <c r="G13" s="13"/>
      <c r="H13" s="87"/>
      <c r="I13" s="103"/>
      <c r="J13" s="103"/>
      <c r="K13" s="103"/>
      <c r="L13" s="103"/>
      <c r="M13" s="103"/>
    </row>
    <row r="14" spans="1:15" s="28" customFormat="1" ht="31.5">
      <c r="A14" s="1174" t="s">
        <v>203</v>
      </c>
      <c r="B14" s="12" t="str">
        <f>IF(別紙1未充足要件!F2="","未入力",別紙1未充足要件!F2)</f>
        <v>不要</v>
      </c>
      <c r="C14" s="60"/>
      <c r="D14" s="7" t="s">
        <v>204</v>
      </c>
      <c r="E14" s="26" t="s">
        <v>205</v>
      </c>
      <c r="F14" s="27" t="s">
        <v>206</v>
      </c>
      <c r="G14" s="13"/>
      <c r="H14" s="87"/>
      <c r="I14" s="103"/>
      <c r="J14" s="103"/>
      <c r="K14" s="103"/>
      <c r="L14" s="103"/>
      <c r="M14" s="103"/>
    </row>
    <row r="15" spans="1:15" s="28" customFormat="1" ht="15" customHeight="1">
      <c r="A15" s="1175"/>
      <c r="B15" s="12" t="str">
        <f>IF(別紙2専門とするがんの診療状況!K2="","未入力",別紙2専門とするがんの診療状況!K2)</f>
        <v>入力済</v>
      </c>
      <c r="C15" s="60"/>
      <c r="D15" s="7" t="s">
        <v>207</v>
      </c>
      <c r="E15" s="26" t="s">
        <v>208</v>
      </c>
      <c r="F15" s="27" t="s">
        <v>209</v>
      </c>
      <c r="G15" s="13"/>
      <c r="H15" s="87"/>
      <c r="I15" s="103"/>
      <c r="J15" s="103"/>
      <c r="K15" s="103"/>
      <c r="L15" s="103"/>
      <c r="M15" s="103"/>
    </row>
    <row r="16" spans="1:15" s="28" customFormat="1" ht="15" customHeight="1">
      <c r="A16" s="1175"/>
      <c r="B16" s="12" t="str">
        <f>IF(別紙3自施設で対応しないもの!K2="","未入力",別紙3自施設で対応しないもの!K2)</f>
        <v>入力済</v>
      </c>
      <c r="C16" s="60"/>
      <c r="D16" s="7" t="s">
        <v>210</v>
      </c>
      <c r="E16" s="26" t="s">
        <v>208</v>
      </c>
      <c r="F16" s="27" t="s">
        <v>211</v>
      </c>
      <c r="G16" s="13"/>
      <c r="H16" s="87"/>
      <c r="I16" s="103"/>
      <c r="J16" s="103"/>
      <c r="K16" s="103"/>
      <c r="L16" s="103"/>
      <c r="M16" s="103"/>
    </row>
    <row r="17" spans="1:13" s="28" customFormat="1" ht="15" customHeight="1">
      <c r="A17" s="1175"/>
      <c r="B17" s="12" t="str">
        <f>IF(別紙4カンファレンス!G2="","未入力あり",別紙4カンファレンス!G2)</f>
        <v>入力済</v>
      </c>
      <c r="C17" s="60"/>
      <c r="D17" s="7" t="s">
        <v>212</v>
      </c>
      <c r="E17" s="26" t="s">
        <v>208</v>
      </c>
      <c r="F17" s="27" t="s">
        <v>213</v>
      </c>
      <c r="G17" s="13"/>
      <c r="H17" s="87"/>
      <c r="I17" s="103"/>
      <c r="J17" s="103"/>
      <c r="K17" s="103"/>
      <c r="L17" s="103"/>
      <c r="M17" s="103"/>
    </row>
    <row r="18" spans="1:13" s="28" customFormat="1" ht="15" customHeight="1">
      <c r="A18" s="1175"/>
      <c r="B18" s="12" t="str">
        <f>IF(別紙5緩和外来!X2="","未入力あり",別紙5緩和外来!X2)</f>
        <v>入力済</v>
      </c>
      <c r="C18" s="60"/>
      <c r="D18" s="7" t="s">
        <v>214</v>
      </c>
      <c r="E18" s="26" t="s">
        <v>208</v>
      </c>
      <c r="F18" s="27" t="s">
        <v>215</v>
      </c>
      <c r="G18" s="13"/>
      <c r="H18" s="87"/>
      <c r="I18" s="103"/>
      <c r="J18" s="103"/>
      <c r="K18" s="103"/>
      <c r="L18" s="103"/>
      <c r="M18" s="103"/>
    </row>
    <row r="19" spans="1:13" s="28" customFormat="1" ht="15" customHeight="1">
      <c r="A19" s="1175"/>
      <c r="B19" s="12" t="str">
        <f>IF(別紙6緩和病棟!Y2="","未入力あり",別紙6緩和病棟!Y2)</f>
        <v>入力済</v>
      </c>
      <c r="C19" s="60"/>
      <c r="D19" s="7" t="s">
        <v>216</v>
      </c>
      <c r="E19" s="88" t="s">
        <v>208</v>
      </c>
      <c r="F19" s="27" t="s">
        <v>217</v>
      </c>
      <c r="G19" s="13"/>
      <c r="H19" s="87"/>
      <c r="I19" s="103"/>
      <c r="J19" s="103"/>
      <c r="K19" s="103"/>
      <c r="L19" s="103"/>
      <c r="M19" s="103"/>
    </row>
    <row r="20" spans="1:13" s="28" customFormat="1" ht="15" customHeight="1">
      <c r="A20" s="1175"/>
      <c r="B20" s="12" t="str">
        <f>IF(別紙7地域緩和ケア連携体制!J2="","未入力",別紙7地域緩和ケア連携体制!J2)</f>
        <v>入力済</v>
      </c>
      <c r="C20" s="60"/>
      <c r="D20" s="7" t="s">
        <v>218</v>
      </c>
      <c r="E20" s="88" t="s">
        <v>208</v>
      </c>
      <c r="F20" s="27" t="s">
        <v>219</v>
      </c>
      <c r="G20" s="13"/>
      <c r="H20" s="87"/>
      <c r="I20" s="103"/>
      <c r="J20" s="103"/>
      <c r="K20" s="103"/>
      <c r="L20" s="103"/>
      <c r="M20" s="103"/>
    </row>
    <row r="21" spans="1:13" s="28" customFormat="1" ht="15" customHeight="1">
      <c r="A21" s="1175"/>
      <c r="B21" s="12" t="str">
        <f>IF(別紙8緩和ケアメンバーと活動!F3="","未入力",別紙8緩和ケアメンバーと活動!F3)</f>
        <v>入力済</v>
      </c>
      <c r="C21" s="60"/>
      <c r="D21" s="7" t="s">
        <v>220</v>
      </c>
      <c r="E21" s="88" t="s">
        <v>208</v>
      </c>
      <c r="F21" s="27" t="s">
        <v>221</v>
      </c>
      <c r="G21" s="13"/>
      <c r="H21" s="87"/>
      <c r="I21" s="103"/>
      <c r="J21" s="103"/>
      <c r="K21" s="103"/>
      <c r="L21" s="103"/>
      <c r="M21" s="103"/>
    </row>
    <row r="22" spans="1:13" s="28" customFormat="1" ht="15" customHeight="1">
      <c r="A22" s="1175"/>
      <c r="B22" s="12" t="str">
        <f>IF(別紙9インターネット環境!Y2="","未入力",別紙9インターネット環境!Y2)</f>
        <v>入力済</v>
      </c>
      <c r="C22" s="60"/>
      <c r="D22" s="7" t="s">
        <v>222</v>
      </c>
      <c r="E22" s="88" t="s">
        <v>208</v>
      </c>
      <c r="F22" s="27" t="s">
        <v>223</v>
      </c>
      <c r="G22" s="13"/>
      <c r="H22" s="87"/>
      <c r="I22" s="103"/>
      <c r="J22" s="103"/>
      <c r="K22" s="103"/>
      <c r="L22" s="103"/>
      <c r="M22" s="103"/>
    </row>
    <row r="23" spans="1:13" s="28" customFormat="1" ht="15" customHeight="1">
      <c r="A23" s="1175"/>
      <c r="B23" s="12" t="str">
        <f>IF(別紙10患者の特性に応じた支援!Y2="","未入力",別紙10患者の特性に応じた支援!Y2)</f>
        <v>入力済</v>
      </c>
      <c r="C23" s="60"/>
      <c r="D23" s="7" t="s">
        <v>224</v>
      </c>
      <c r="E23" s="88" t="s">
        <v>208</v>
      </c>
      <c r="F23" s="27" t="s">
        <v>225</v>
      </c>
      <c r="G23" s="13"/>
      <c r="H23" s="87"/>
      <c r="I23" s="103"/>
      <c r="J23" s="103"/>
      <c r="K23" s="103"/>
      <c r="L23" s="103"/>
      <c r="M23" s="103"/>
    </row>
    <row r="24" spans="1:13" s="28" customFormat="1" ht="15" customHeight="1">
      <c r="A24" s="1175"/>
      <c r="B24" s="12" t="str">
        <f>IF(別紙11相談内容!G2="","未入力",別紙11相談内容!G2)</f>
        <v>入力済</v>
      </c>
      <c r="C24" s="60"/>
      <c r="D24" s="7" t="s">
        <v>226</v>
      </c>
      <c r="E24" s="88" t="s">
        <v>208</v>
      </c>
      <c r="F24" s="33" t="s">
        <v>227</v>
      </c>
      <c r="G24" s="13"/>
      <c r="H24" s="87"/>
      <c r="I24" s="103"/>
      <c r="J24" s="103"/>
      <c r="K24" s="103"/>
      <c r="L24" s="103"/>
      <c r="M24" s="103"/>
    </row>
    <row r="25" spans="1:13" s="28" customFormat="1" ht="15" customHeight="1">
      <c r="A25" s="1175"/>
      <c r="B25" s="12" t="str">
        <f>IF(別紙12相談支援センター窓口等!W2="","未入力",別紙12相談支援センター窓口等!W2)</f>
        <v>入力済</v>
      </c>
      <c r="C25" s="60"/>
      <c r="D25" s="7" t="s">
        <v>228</v>
      </c>
      <c r="E25" s="88" t="s">
        <v>208</v>
      </c>
      <c r="F25" s="33" t="s">
        <v>229</v>
      </c>
      <c r="G25" s="13"/>
      <c r="H25" s="87"/>
      <c r="I25" s="103"/>
      <c r="J25" s="103"/>
      <c r="K25" s="103"/>
      <c r="L25" s="103"/>
      <c r="M25" s="103"/>
    </row>
    <row r="26" spans="1:13" s="28" customFormat="1" ht="15" customHeight="1">
      <c r="A26" s="1175"/>
      <c r="B26" s="12" t="str">
        <f>IF(別紙13相談支援センター体制!I2="","未入力",別紙13相談支援センター体制!I2)</f>
        <v>入力済</v>
      </c>
      <c r="C26" s="60"/>
      <c r="D26" s="7" t="s">
        <v>230</v>
      </c>
      <c r="E26" s="88" t="s">
        <v>208</v>
      </c>
      <c r="F26" s="33" t="s">
        <v>231</v>
      </c>
      <c r="G26" s="13"/>
      <c r="H26" s="87"/>
      <c r="I26" s="103"/>
      <c r="J26" s="103"/>
      <c r="K26" s="103"/>
      <c r="L26" s="103"/>
      <c r="M26" s="103"/>
    </row>
    <row r="27" spans="1:13" s="28" customFormat="1" ht="15" customHeight="1">
      <c r="A27" s="1175"/>
      <c r="B27" s="12" t="str">
        <f>IF(別紙14連携協力体制!H2="","未入力",別紙14連携協力体制!H2)</f>
        <v>入力済</v>
      </c>
      <c r="C27" s="60"/>
      <c r="D27" s="7" t="s">
        <v>232</v>
      </c>
      <c r="E27" s="88" t="s">
        <v>208</v>
      </c>
      <c r="F27" s="33" t="s">
        <v>233</v>
      </c>
      <c r="G27" s="13"/>
      <c r="H27" s="87"/>
      <c r="I27" s="103"/>
      <c r="J27" s="103"/>
      <c r="K27" s="103"/>
      <c r="L27" s="103"/>
      <c r="M27" s="103"/>
    </row>
    <row r="28" spans="1:13" s="28" customFormat="1" ht="15" customHeight="1">
      <c r="A28" s="1175"/>
      <c r="B28" s="12" t="str">
        <f>IF(別紙15専門外来!W2="","未入力",別紙15専門外来!W2)</f>
        <v>入力済</v>
      </c>
      <c r="C28" s="60"/>
      <c r="D28" s="7" t="s">
        <v>234</v>
      </c>
      <c r="E28" s="88" t="s">
        <v>208</v>
      </c>
      <c r="F28" s="33" t="s">
        <v>235</v>
      </c>
      <c r="G28" s="13"/>
      <c r="H28" s="87"/>
      <c r="I28" s="103"/>
      <c r="J28" s="103"/>
      <c r="K28" s="103"/>
      <c r="L28" s="103"/>
      <c r="M28" s="103"/>
    </row>
    <row r="29" spans="1:13" s="28" customFormat="1" ht="15" customHeight="1">
      <c r="A29" s="1175"/>
      <c r="B29" s="12" t="str">
        <f>IF(別紙16院内がん登録!G2="","未入力",別紙16院内がん登録!G2)</f>
        <v>入力済</v>
      </c>
      <c r="C29" s="60"/>
      <c r="D29" s="7" t="s">
        <v>236</v>
      </c>
      <c r="E29" s="88" t="s">
        <v>208</v>
      </c>
      <c r="F29" s="33" t="s">
        <v>237</v>
      </c>
      <c r="G29" s="13"/>
      <c r="H29" s="87"/>
      <c r="I29" s="103"/>
      <c r="J29" s="103"/>
      <c r="K29" s="103"/>
      <c r="L29" s="103"/>
      <c r="M29" s="103"/>
    </row>
    <row r="30" spans="1:13" s="28" customFormat="1" ht="15" customHeight="1">
      <c r="A30" s="1175"/>
      <c r="B30" s="12" t="str">
        <f>IF(別紙17臨床試験・治験!T2="","未入力",別紙17臨床試験・治験!T2)</f>
        <v>入力済</v>
      </c>
      <c r="C30" s="60"/>
      <c r="D30" s="7" t="s">
        <v>238</v>
      </c>
      <c r="E30" s="88" t="s">
        <v>208</v>
      </c>
      <c r="F30" s="33" t="s">
        <v>239</v>
      </c>
      <c r="G30" s="13"/>
      <c r="H30" s="87"/>
      <c r="I30" s="103"/>
      <c r="J30" s="103"/>
      <c r="K30" s="103"/>
      <c r="L30" s="103"/>
      <c r="M30" s="103"/>
    </row>
    <row r="31" spans="1:13" s="28" customFormat="1" ht="15" customHeight="1">
      <c r="A31" s="1175"/>
      <c r="B31" s="12" t="str">
        <f>IF(別紙18研究窓口!U2="","未入力",別紙18研究窓口!U2)</f>
        <v>入力済</v>
      </c>
      <c r="C31" s="76"/>
      <c r="D31" s="7" t="s">
        <v>240</v>
      </c>
      <c r="E31" s="88" t="s">
        <v>208</v>
      </c>
      <c r="F31" s="33" t="s">
        <v>241</v>
      </c>
      <c r="G31" s="13"/>
      <c r="H31" s="87"/>
      <c r="I31" s="103"/>
      <c r="J31" s="103"/>
      <c r="K31" s="103"/>
      <c r="L31" s="103"/>
      <c r="M31" s="103"/>
    </row>
    <row r="32" spans="1:13" s="28" customFormat="1" ht="15" customHeight="1">
      <c r="A32" s="1175"/>
      <c r="B32" s="12" t="str">
        <f>IF(別紙19チーム医療の提供体制!O2="","未入力",別紙19チーム医療の提供体制!O2)</f>
        <v>入力済</v>
      </c>
      <c r="C32" s="76"/>
      <c r="D32" s="7" t="s">
        <v>242</v>
      </c>
      <c r="E32" s="88" t="s">
        <v>208</v>
      </c>
      <c r="F32" s="33" t="s">
        <v>243</v>
      </c>
      <c r="G32" s="13"/>
      <c r="H32" s="87"/>
      <c r="I32" s="103"/>
      <c r="J32" s="103"/>
      <c r="K32" s="103"/>
      <c r="L32" s="103"/>
      <c r="M32" s="103"/>
    </row>
    <row r="33" spans="1:13" s="28" customFormat="1" ht="15" customHeight="1">
      <c r="A33" s="1175"/>
      <c r="B33" s="12" t="str">
        <f>IF(別紙20医療安全・第三者評価!I2="","未入力",別紙20医療安全・第三者評価!I2)</f>
        <v>入力済</v>
      </c>
      <c r="C33" s="76"/>
      <c r="D33" s="7" t="s">
        <v>244</v>
      </c>
      <c r="E33" s="88" t="s">
        <v>208</v>
      </c>
      <c r="F33" s="33" t="s">
        <v>245</v>
      </c>
      <c r="G33" s="13"/>
      <c r="H33" s="87"/>
      <c r="I33" s="103"/>
      <c r="J33" s="103"/>
      <c r="K33" s="103"/>
      <c r="L33" s="103"/>
      <c r="M33" s="103"/>
    </row>
    <row r="34" spans="1:13" s="34" customFormat="1" ht="15" customHeight="1">
      <c r="A34" s="1175"/>
      <c r="B34" s="12" t="str">
        <f>IF(別紙21PCCメンバー!H2="","未入力",別紙21PCCメンバー!H2)</f>
        <v>入力済</v>
      </c>
      <c r="C34" s="77"/>
      <c r="D34" s="7" t="s">
        <v>246</v>
      </c>
      <c r="E34" s="88" t="s">
        <v>208</v>
      </c>
      <c r="F34" s="27" t="s">
        <v>247</v>
      </c>
      <c r="G34" s="38"/>
      <c r="H34" s="87"/>
      <c r="I34" s="103"/>
      <c r="J34" s="103"/>
      <c r="K34" s="105"/>
      <c r="L34" s="105"/>
      <c r="M34" s="105"/>
    </row>
    <row r="35" spans="1:13" s="28" customFormat="1" ht="15" customHeight="1">
      <c r="A35" s="1175"/>
      <c r="B35" s="12" t="str">
        <f>IF(別紙22集学的治療提供体制!J2="","未入力",別紙22集学的治療提供体制!J2)</f>
        <v>不要</v>
      </c>
      <c r="C35" s="78">
        <f>+別紙22集学的治療提供体制!D7</f>
        <v>0</v>
      </c>
      <c r="D35" s="7" t="s">
        <v>248</v>
      </c>
      <c r="E35" s="88" t="s">
        <v>249</v>
      </c>
      <c r="F35" s="27" t="s">
        <v>250</v>
      </c>
      <c r="G35" s="13"/>
      <c r="H35" s="87"/>
      <c r="I35" s="103"/>
      <c r="J35" s="103"/>
      <c r="K35" s="103"/>
      <c r="L35" s="103"/>
      <c r="M35" s="103"/>
    </row>
    <row r="36" spans="1:13" s="34" customFormat="1" ht="15" customHeight="1">
      <c r="A36" s="1175"/>
      <c r="B36" s="12" t="str">
        <f>IF(別紙23連携診療体制!K2="","未入力",別紙23連携診療体制!K2)</f>
        <v>不要</v>
      </c>
      <c r="C36" s="78">
        <f>+別紙23連携診療体制!D7</f>
        <v>0</v>
      </c>
      <c r="D36" s="7" t="s">
        <v>251</v>
      </c>
      <c r="E36" s="88" t="s">
        <v>249</v>
      </c>
      <c r="F36" s="27" t="s">
        <v>252</v>
      </c>
      <c r="G36" s="38"/>
      <c r="H36" s="87"/>
      <c r="I36" s="103"/>
      <c r="J36" s="103"/>
      <c r="K36" s="105"/>
      <c r="L36" s="105"/>
      <c r="M36" s="105"/>
    </row>
    <row r="37" spans="1:13" s="28" customFormat="1" ht="15" customHeight="1">
      <c r="A37" s="1175"/>
      <c r="B37" s="12" t="str">
        <f>IF(別紙24特定領域人材交流!G2="","未入力",別紙24特定領域人材交流!G2)</f>
        <v>不要</v>
      </c>
      <c r="C37" s="32"/>
      <c r="D37" s="7" t="s">
        <v>253</v>
      </c>
      <c r="E37" s="88" t="s">
        <v>249</v>
      </c>
      <c r="F37" s="27" t="s">
        <v>254</v>
      </c>
      <c r="G37" s="13"/>
      <c r="H37" s="87"/>
      <c r="I37" s="103"/>
      <c r="J37" s="103"/>
      <c r="K37" s="103"/>
      <c r="L37" s="103"/>
      <c r="M37" s="103"/>
    </row>
    <row r="38" spans="1:13" s="34" customFormat="1" ht="15" customHeight="1">
      <c r="A38" s="1175"/>
      <c r="B38" s="12" t="str">
        <f>IF(別紙25グループ指定の状況!G2="","未入力",別紙25グループ指定の状況!G2)</f>
        <v>不要</v>
      </c>
      <c r="C38" s="77"/>
      <c r="D38" s="7" t="s">
        <v>255</v>
      </c>
      <c r="E38" s="88" t="s">
        <v>256</v>
      </c>
      <c r="F38" s="27" t="s">
        <v>257</v>
      </c>
      <c r="G38" s="38"/>
      <c r="H38" s="87"/>
      <c r="I38" s="103"/>
      <c r="J38" s="103"/>
      <c r="K38" s="105"/>
      <c r="L38" s="105"/>
      <c r="M38" s="105"/>
    </row>
    <row r="39" spans="1:13" s="28" customFormat="1" ht="15" customHeight="1">
      <c r="A39" s="1175"/>
      <c r="B39" s="12" t="str">
        <f>IF(別紙26グループ間の人材交流計画!F2="","未入力",別紙26グループ間の人材交流計画!F2)</f>
        <v>不要</v>
      </c>
      <c r="C39" s="77"/>
      <c r="D39" s="7" t="s">
        <v>258</v>
      </c>
      <c r="E39" s="88" t="s">
        <v>256</v>
      </c>
      <c r="F39" s="27" t="s">
        <v>259</v>
      </c>
      <c r="G39" s="13"/>
      <c r="H39" s="87"/>
      <c r="I39" s="103"/>
      <c r="J39" s="103"/>
      <c r="K39" s="103"/>
      <c r="L39" s="103"/>
      <c r="M39" s="103"/>
    </row>
    <row r="40" spans="1:13" s="28" customFormat="1" ht="15" customHeight="1">
      <c r="A40" s="1175"/>
      <c r="B40" s="12" t="str">
        <f>IF(別紙27グループ指定の状況!G2="","未入力",別紙27グループ指定の状況!G2)</f>
        <v>不要</v>
      </c>
      <c r="C40" s="77"/>
      <c r="D40" s="7" t="s">
        <v>260</v>
      </c>
      <c r="E40" s="88" t="s">
        <v>261</v>
      </c>
      <c r="F40" s="27" t="s">
        <v>257</v>
      </c>
      <c r="G40" s="13"/>
      <c r="H40" s="87"/>
      <c r="I40" s="103"/>
      <c r="J40" s="103"/>
      <c r="K40" s="103"/>
      <c r="L40" s="103"/>
      <c r="M40" s="103"/>
    </row>
    <row r="41" spans="1:13" s="34" customFormat="1" ht="15" customHeight="1">
      <c r="A41" s="1175"/>
      <c r="B41" s="12" t="str">
        <f>IF(別紙28都道府県協議会!H2="","未入力",別紙28都道府県協議会!H2)</f>
        <v>不要</v>
      </c>
      <c r="C41" s="77"/>
      <c r="D41" s="7" t="s">
        <v>262</v>
      </c>
      <c r="E41" s="88" t="s">
        <v>263</v>
      </c>
      <c r="F41" s="27" t="s">
        <v>264</v>
      </c>
      <c r="G41" s="38"/>
      <c r="H41" s="87"/>
      <c r="I41" s="103"/>
      <c r="J41" s="103"/>
      <c r="K41" s="105"/>
      <c r="L41" s="105"/>
      <c r="M41" s="105"/>
    </row>
    <row r="42" spans="1:13" s="34" customFormat="1" ht="15" customHeight="1">
      <c r="A42" s="100"/>
      <c r="B42" s="12" t="str">
        <f>IF(別紙29歯科との連携!I2="","未入力あり",別紙29歯科との連携!I2)</f>
        <v>入力済</v>
      </c>
      <c r="C42" s="77"/>
      <c r="D42" s="7" t="s">
        <v>265</v>
      </c>
      <c r="E42" s="88" t="s">
        <v>208</v>
      </c>
      <c r="F42" s="27" t="s">
        <v>266</v>
      </c>
      <c r="G42" s="38"/>
      <c r="H42" s="87"/>
      <c r="I42" s="103"/>
      <c r="J42" s="103"/>
      <c r="K42" s="105"/>
      <c r="L42" s="105"/>
      <c r="M42" s="105"/>
    </row>
    <row r="43" spans="1:13" s="28" customFormat="1" ht="15" customHeight="1">
      <c r="A43" s="80"/>
      <c r="B43" s="80"/>
      <c r="C43" s="80"/>
      <c r="D43" s="80"/>
      <c r="E43" s="81" t="s">
        <v>267</v>
      </c>
      <c r="F43" s="82"/>
      <c r="G43" s="13"/>
      <c r="H43" s="160"/>
      <c r="I43" s="103"/>
      <c r="J43" s="103"/>
      <c r="K43" s="103"/>
      <c r="L43" s="103"/>
      <c r="M43" s="103"/>
    </row>
    <row r="44" spans="1:13" s="34" customFormat="1" ht="15" customHeight="1">
      <c r="A44" s="83"/>
      <c r="B44" s="83"/>
      <c r="C44" s="83"/>
      <c r="D44" s="83"/>
      <c r="E44" s="84"/>
      <c r="F44" s="85"/>
      <c r="G44" s="38"/>
      <c r="H44" s="161"/>
      <c r="I44" s="103"/>
      <c r="J44" s="103"/>
      <c r="K44" s="105"/>
      <c r="L44" s="105"/>
      <c r="M44" s="105"/>
    </row>
    <row r="45" spans="1:13" s="28" customFormat="1" ht="15" customHeight="1">
      <c r="A45" s="83"/>
      <c r="B45" s="83"/>
      <c r="C45" s="83"/>
      <c r="D45" s="83"/>
      <c r="E45" s="84"/>
      <c r="F45" s="85"/>
      <c r="G45" s="13"/>
      <c r="H45" s="162"/>
      <c r="I45" s="103"/>
      <c r="J45" s="103"/>
      <c r="K45" s="103"/>
      <c r="L45" s="103"/>
      <c r="M45" s="103"/>
    </row>
    <row r="46" spans="1:13" s="28" customFormat="1" ht="15" customHeight="1">
      <c r="A46" s="83"/>
      <c r="B46" s="83"/>
      <c r="C46" s="83"/>
      <c r="D46" s="83"/>
      <c r="E46" s="84"/>
      <c r="F46" s="85"/>
      <c r="G46" s="13"/>
      <c r="H46" s="162"/>
      <c r="I46" s="103"/>
      <c r="J46" s="103"/>
      <c r="K46" s="103"/>
      <c r="L46" s="103"/>
      <c r="M46" s="103"/>
    </row>
    <row r="47" spans="1:13" ht="15" customHeight="1">
      <c r="A47" s="83"/>
      <c r="B47" s="83"/>
      <c r="C47" s="83"/>
      <c r="D47" s="83"/>
      <c r="E47" s="84"/>
      <c r="F47" s="85"/>
      <c r="H47" s="162"/>
      <c r="I47" s="103"/>
      <c r="J47" s="103"/>
    </row>
    <row r="48" spans="1:13" ht="15" customHeight="1">
      <c r="A48" s="83"/>
      <c r="B48" s="83"/>
      <c r="C48" s="83"/>
      <c r="D48" s="83"/>
      <c r="E48" s="84"/>
      <c r="F48" s="85"/>
      <c r="H48" s="162"/>
      <c r="I48" s="103"/>
      <c r="J48" s="103"/>
    </row>
    <row r="49" spans="1:13" s="34" customFormat="1" ht="15" customHeight="1">
      <c r="A49" s="83"/>
      <c r="B49" s="83"/>
      <c r="C49" s="83"/>
      <c r="D49" s="83"/>
      <c r="E49" s="84"/>
      <c r="F49" s="85"/>
      <c r="G49" s="38"/>
      <c r="H49" s="162"/>
      <c r="I49" s="103"/>
      <c r="J49" s="103"/>
      <c r="K49" s="105"/>
      <c r="L49" s="105"/>
      <c r="M49" s="105"/>
    </row>
    <row r="50" spans="1:13" s="28" customFormat="1" ht="15" customHeight="1">
      <c r="A50" s="83"/>
      <c r="B50" s="83"/>
      <c r="C50" s="83"/>
      <c r="D50" s="83"/>
      <c r="E50" s="84"/>
      <c r="F50" s="85"/>
      <c r="G50" s="13"/>
      <c r="H50" s="162"/>
      <c r="I50" s="103"/>
      <c r="J50" s="103"/>
      <c r="K50" s="103"/>
      <c r="L50" s="103"/>
      <c r="M50" s="103"/>
    </row>
    <row r="51" spans="1:13">
      <c r="A51" s="83"/>
      <c r="B51" s="83"/>
      <c r="C51" s="83"/>
      <c r="D51" s="83"/>
      <c r="E51" s="84"/>
      <c r="F51" s="85"/>
      <c r="H51" s="162"/>
      <c r="I51" s="103"/>
      <c r="J51" s="103"/>
    </row>
    <row r="52" spans="1:13">
      <c r="A52" s="83"/>
      <c r="B52" s="83"/>
      <c r="C52" s="83"/>
      <c r="D52" s="83"/>
      <c r="E52" s="84"/>
      <c r="F52" s="85"/>
      <c r="H52" s="162"/>
      <c r="I52" s="103"/>
      <c r="J52" s="103"/>
    </row>
    <row r="53" spans="1:13">
      <c r="B53"/>
      <c r="C53"/>
      <c r="D53" s="1"/>
      <c r="E53" s="1"/>
      <c r="F53" s="35"/>
    </row>
    <row r="54" spans="1:13">
      <c r="B54"/>
      <c r="C54"/>
      <c r="D54" s="1"/>
      <c r="E54" s="1"/>
      <c r="F54" s="35"/>
    </row>
  </sheetData>
  <sheetProtection selectLockedCells="1"/>
  <mergeCells count="4">
    <mergeCell ref="E12:F12"/>
    <mergeCell ref="E4:F4"/>
    <mergeCell ref="A14:A41"/>
    <mergeCell ref="E2:F2"/>
  </mergeCells>
  <phoneticPr fontId="10"/>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574" yWindow="311" count="2">
    <dataValidation allowBlank="1" showInputMessage="1" showErrorMessage="1" prompt="指定通知書及び厚労省ホームページ上で公開するがん診療連携拠点病院等の一覧で使用する正式名称を入力して下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625" customWidth="1"/>
    <col min="2" max="2" width="10.625" customWidth="1"/>
    <col min="3" max="3" width="22.25" customWidth="1"/>
    <col min="4" max="4" width="16.625" customWidth="1"/>
    <col min="5" max="5" width="30.625" customWidth="1"/>
    <col min="6" max="6" width="24.625" customWidth="1"/>
    <col min="7" max="7" width="8.625" customWidth="1"/>
    <col min="8" max="8" width="2.625" customWidth="1"/>
    <col min="9" max="9" width="6" hidden="1" customWidth="1"/>
    <col min="10" max="10" width="2.25" style="59" hidden="1" customWidth="1"/>
    <col min="11" max="11" width="80.625" style="340" customWidth="1"/>
  </cols>
  <sheetData>
    <row r="1" spans="1:11" ht="20.100000000000001" customHeight="1" thickBot="1">
      <c r="A1" s="1226" t="s">
        <v>1825</v>
      </c>
      <c r="B1" s="1226"/>
      <c r="C1" s="1226"/>
      <c r="D1" s="1226"/>
      <c r="E1" s="1226"/>
      <c r="F1" s="1226"/>
      <c r="G1" s="1226"/>
      <c r="J1" s="97"/>
    </row>
    <row r="2" spans="1:11" ht="24.95" customHeight="1" thickTop="1" thickBot="1">
      <c r="A2" s="1228" t="s">
        <v>1803</v>
      </c>
      <c r="B2" s="1228"/>
      <c r="C2" s="1228"/>
      <c r="D2" s="1228"/>
      <c r="E2" s="1228"/>
      <c r="F2" s="1248"/>
      <c r="G2" s="533" t="str">
        <f>IF('様式4（全般事項）'!G5&lt;&gt;"特定領域がん診療連携拠点病院","不要",IF(COUNTIF(I:I,"×")&gt;=1,"未入力あり","入力済"))</f>
        <v>不要</v>
      </c>
      <c r="H2" s="1234"/>
      <c r="I2" s="594"/>
      <c r="J2" s="97"/>
    </row>
    <row r="3" spans="1:11" ht="5.0999999999999996" customHeight="1" thickTop="1">
      <c r="A3" s="532"/>
      <c r="B3" s="532"/>
      <c r="C3" s="532"/>
      <c r="D3" s="532"/>
      <c r="E3" s="532"/>
      <c r="F3" s="532"/>
      <c r="G3" s="532"/>
      <c r="H3" s="1234"/>
      <c r="I3" s="594"/>
    </row>
    <row r="4" spans="1:11" ht="20.100000000000001" customHeight="1">
      <c r="A4" s="532"/>
      <c r="B4" s="532"/>
      <c r="C4" s="532"/>
      <c r="D4" s="532"/>
      <c r="E4" s="536" t="s">
        <v>1222</v>
      </c>
      <c r="F4" s="1436" t="str">
        <f>表紙!E2</f>
        <v>市立豊中病院</v>
      </c>
      <c r="G4" s="1438"/>
      <c r="H4" s="1234"/>
      <c r="I4" s="594"/>
      <c r="K4" s="188" t="s">
        <v>268</v>
      </c>
    </row>
    <row r="5" spans="1:11" ht="20.100000000000001" customHeight="1">
      <c r="A5" s="532"/>
      <c r="B5" s="532"/>
      <c r="C5" s="532"/>
      <c r="D5" s="532"/>
      <c r="E5" s="536" t="s">
        <v>1223</v>
      </c>
      <c r="F5" t="str">
        <f>+'事務局使用（発出時は非表示にすること）'!$B$4</f>
        <v>令和５年１月１日～12月31日</v>
      </c>
      <c r="G5" s="640"/>
      <c r="K5" s="87"/>
    </row>
    <row r="6" spans="1:11" s="9" customFormat="1" ht="18" customHeight="1">
      <c r="A6" s="581"/>
      <c r="B6" s="1287" t="s">
        <v>1826</v>
      </c>
      <c r="C6" s="1828"/>
      <c r="D6" s="1828"/>
      <c r="E6" s="1828"/>
      <c r="F6" s="1828"/>
      <c r="G6" s="581"/>
      <c r="J6" s="61"/>
      <c r="K6" s="87"/>
    </row>
    <row r="7" spans="1:11" s="9" customFormat="1" ht="18" customHeight="1">
      <c r="A7" s="581"/>
      <c r="B7" s="1827" t="s">
        <v>1827</v>
      </c>
      <c r="C7" s="1827"/>
      <c r="D7" s="1827"/>
      <c r="E7" s="1827"/>
      <c r="F7" s="1827"/>
      <c r="G7" s="581"/>
      <c r="J7" s="61"/>
      <c r="K7" s="87"/>
    </row>
    <row r="8" spans="1:11" s="9" customFormat="1" ht="20.100000000000001" customHeight="1" thickBot="1">
      <c r="A8" s="642"/>
      <c r="B8" s="950" t="s">
        <v>1828</v>
      </c>
      <c r="C8" s="951" t="s">
        <v>1829</v>
      </c>
      <c r="D8" s="951" t="s">
        <v>1830</v>
      </c>
      <c r="E8" s="951" t="s">
        <v>1831</v>
      </c>
      <c r="F8" s="1825" t="s">
        <v>1832</v>
      </c>
      <c r="G8" s="1826"/>
      <c r="J8" s="61"/>
      <c r="K8" s="87"/>
    </row>
    <row r="9" spans="1:11" s="9" customFormat="1" ht="33.950000000000003" customHeight="1">
      <c r="A9" s="545" t="s">
        <v>1228</v>
      </c>
      <c r="B9" s="952" t="s">
        <v>1833</v>
      </c>
      <c r="C9" s="953" t="s">
        <v>1834</v>
      </c>
      <c r="D9" s="953" t="s">
        <v>1562</v>
      </c>
      <c r="E9" s="543" t="s">
        <v>1835</v>
      </c>
      <c r="F9" s="1824" t="s">
        <v>1836</v>
      </c>
      <c r="G9" s="1824"/>
      <c r="H9" s="203"/>
      <c r="I9" s="203"/>
      <c r="J9" s="61"/>
      <c r="K9" s="87"/>
    </row>
    <row r="10" spans="1:11" s="9" customFormat="1" ht="33.950000000000003" customHeight="1">
      <c r="A10" s="545" t="s">
        <v>1228</v>
      </c>
      <c r="B10" s="952" t="s">
        <v>1837</v>
      </c>
      <c r="C10" s="953" t="s">
        <v>1838</v>
      </c>
      <c r="D10" s="953" t="s">
        <v>1839</v>
      </c>
      <c r="E10" s="543" t="s">
        <v>1840</v>
      </c>
      <c r="F10" s="1824" t="s">
        <v>1841</v>
      </c>
      <c r="G10" s="1824"/>
      <c r="H10" s="203"/>
      <c r="I10" s="203"/>
      <c r="J10" s="61"/>
      <c r="K10" s="87"/>
    </row>
    <row r="11" spans="1:11" s="9" customFormat="1" ht="33.950000000000003" customHeight="1" thickBot="1">
      <c r="A11" s="545">
        <v>1</v>
      </c>
      <c r="B11" s="40"/>
      <c r="C11" s="58"/>
      <c r="D11" s="58"/>
      <c r="E11" s="119"/>
      <c r="F11" s="1352"/>
      <c r="G11" s="1352"/>
      <c r="H11" s="203"/>
      <c r="I11" s="9" t="str">
        <f>IF(OR(B11="",C11="",D11="",E11="",F11=""),"×","○")</f>
        <v>×</v>
      </c>
      <c r="J11" s="61"/>
      <c r="K11" s="87"/>
    </row>
    <row r="12" spans="1:11" s="9" customFormat="1" ht="33.950000000000003" customHeight="1" thickBot="1">
      <c r="A12" s="545">
        <v>2</v>
      </c>
      <c r="B12" s="40"/>
      <c r="C12" s="57"/>
      <c r="D12" s="57"/>
      <c r="E12" s="119"/>
      <c r="F12" s="1352"/>
      <c r="G12" s="1352"/>
      <c r="H12" s="203"/>
      <c r="I12" s="203"/>
      <c r="J12" s="61"/>
      <c r="K12" s="87"/>
    </row>
    <row r="13" spans="1:11" s="9" customFormat="1" ht="33.950000000000003" customHeight="1" thickBot="1">
      <c r="A13" s="545">
        <v>3</v>
      </c>
      <c r="B13" s="40"/>
      <c r="C13" s="57"/>
      <c r="D13" s="57"/>
      <c r="E13" s="119"/>
      <c r="F13" s="1352"/>
      <c r="G13" s="1352"/>
      <c r="H13" s="203"/>
      <c r="I13" s="203"/>
      <c r="J13" s="61"/>
      <c r="K13" s="87"/>
    </row>
    <row r="14" spans="1:11" s="9" customFormat="1" ht="33.950000000000003" customHeight="1" thickBot="1">
      <c r="A14" s="545">
        <v>4</v>
      </c>
      <c r="B14" s="40"/>
      <c r="C14" s="57"/>
      <c r="D14" s="57"/>
      <c r="E14" s="119"/>
      <c r="F14" s="1352"/>
      <c r="G14" s="1352"/>
      <c r="H14" s="203"/>
      <c r="I14" s="203"/>
      <c r="J14" s="61"/>
      <c r="K14" s="87"/>
    </row>
    <row r="15" spans="1:11" s="9" customFormat="1" ht="33.950000000000003" customHeight="1" thickBot="1">
      <c r="A15" s="545">
        <v>5</v>
      </c>
      <c r="B15" s="40"/>
      <c r="C15" s="57"/>
      <c r="D15" s="57"/>
      <c r="E15" s="119"/>
      <c r="F15" s="1352"/>
      <c r="G15" s="1352"/>
      <c r="H15" s="203"/>
      <c r="I15" s="203"/>
      <c r="J15" s="61"/>
      <c r="K15" s="87"/>
    </row>
    <row r="16" spans="1:11" s="9" customFormat="1" ht="33.950000000000003" customHeight="1" thickBot="1">
      <c r="A16" s="545">
        <v>6</v>
      </c>
      <c r="B16" s="40"/>
      <c r="C16" s="57"/>
      <c r="D16" s="57"/>
      <c r="E16" s="119"/>
      <c r="F16" s="1352"/>
      <c r="G16" s="1352"/>
      <c r="H16" s="203"/>
      <c r="I16" s="203"/>
      <c r="J16" s="61"/>
      <c r="K16" s="87"/>
    </row>
    <row r="17" spans="1:11" s="9" customFormat="1" ht="33.950000000000003" customHeight="1" thickBot="1">
      <c r="A17" s="545">
        <v>7</v>
      </c>
      <c r="B17" s="40"/>
      <c r="C17" s="57"/>
      <c r="D17" s="57"/>
      <c r="E17" s="119"/>
      <c r="F17" s="1352"/>
      <c r="G17" s="1352"/>
      <c r="H17" s="203"/>
      <c r="I17" s="203"/>
      <c r="J17" s="61"/>
      <c r="K17" s="87"/>
    </row>
    <row r="18" spans="1:11" s="9" customFormat="1" ht="33.950000000000003" customHeight="1" thickBot="1">
      <c r="A18" s="545">
        <v>8</v>
      </c>
      <c r="B18" s="40"/>
      <c r="C18" s="57"/>
      <c r="D18" s="57"/>
      <c r="E18" s="119"/>
      <c r="F18" s="1352"/>
      <c r="G18" s="1352"/>
      <c r="J18" s="61"/>
      <c r="K18" s="87"/>
    </row>
    <row r="19" spans="1:11" s="9" customFormat="1" ht="33.950000000000003" customHeight="1" thickBot="1">
      <c r="A19" s="545">
        <v>9</v>
      </c>
      <c r="B19" s="40"/>
      <c r="C19" s="57"/>
      <c r="D19" s="57"/>
      <c r="E19" s="119"/>
      <c r="F19" s="1352"/>
      <c r="G19" s="1352"/>
      <c r="J19" s="61"/>
      <c r="K19" s="87"/>
    </row>
    <row r="20" spans="1:11" s="9" customFormat="1" ht="33.950000000000003" customHeight="1" thickBot="1">
      <c r="A20" s="545">
        <v>10</v>
      </c>
      <c r="B20" s="40"/>
      <c r="C20" s="57"/>
      <c r="D20" s="57"/>
      <c r="E20" s="119"/>
      <c r="F20" s="1352"/>
      <c r="G20" s="1352"/>
      <c r="J20" s="61"/>
      <c r="K20" s="87"/>
    </row>
    <row r="21" spans="1:11" s="9" customFormat="1" ht="33.950000000000003" customHeight="1" thickBot="1">
      <c r="A21" s="545">
        <v>11</v>
      </c>
      <c r="B21" s="40"/>
      <c r="C21" s="57"/>
      <c r="D21" s="57"/>
      <c r="E21" s="119"/>
      <c r="F21" s="1352"/>
      <c r="G21" s="1352"/>
      <c r="J21" s="61"/>
      <c r="K21" s="87"/>
    </row>
    <row r="22" spans="1:11" s="9" customFormat="1" ht="33.950000000000003" customHeight="1" thickBot="1">
      <c r="A22" s="545">
        <v>12</v>
      </c>
      <c r="B22" s="40"/>
      <c r="C22" s="57"/>
      <c r="D22" s="57"/>
      <c r="E22" s="119"/>
      <c r="F22" s="1352"/>
      <c r="G22" s="1352"/>
      <c r="J22" s="61"/>
      <c r="K22" s="87"/>
    </row>
    <row r="23" spans="1:11" s="9" customFormat="1" ht="33.950000000000003" customHeight="1" thickBot="1">
      <c r="A23" s="545">
        <v>13</v>
      </c>
      <c r="B23" s="40"/>
      <c r="C23" s="57"/>
      <c r="D23" s="57"/>
      <c r="E23" s="119"/>
      <c r="F23" s="1352"/>
      <c r="G23" s="1352"/>
      <c r="J23" s="61"/>
      <c r="K23" s="87"/>
    </row>
    <row r="24" spans="1:11" s="9" customFormat="1" ht="33.950000000000003" customHeight="1" thickBot="1">
      <c r="A24" s="545">
        <v>14</v>
      </c>
      <c r="B24" s="40"/>
      <c r="C24" s="57"/>
      <c r="D24" s="57"/>
      <c r="E24" s="119"/>
      <c r="F24" s="1352"/>
      <c r="G24" s="1352"/>
      <c r="J24" s="61"/>
      <c r="K24" s="87"/>
    </row>
    <row r="25" spans="1:11" s="9" customFormat="1" ht="33.950000000000003" customHeight="1" thickBot="1">
      <c r="A25" s="545">
        <v>15</v>
      </c>
      <c r="B25" s="40"/>
      <c r="C25" s="57"/>
      <c r="D25" s="57"/>
      <c r="E25" s="119"/>
      <c r="F25" s="1352"/>
      <c r="G25" s="1352"/>
      <c r="J25" s="61"/>
      <c r="K25" s="87"/>
    </row>
    <row r="26" spans="1:11" s="9" customFormat="1" ht="33.950000000000003" customHeight="1" thickBot="1">
      <c r="A26" s="545">
        <v>16</v>
      </c>
      <c r="B26" s="40"/>
      <c r="C26" s="57"/>
      <c r="D26" s="57"/>
      <c r="E26" s="119"/>
      <c r="F26" s="1352"/>
      <c r="G26" s="1352"/>
      <c r="J26" s="61"/>
      <c r="K26" s="87"/>
    </row>
    <row r="27" spans="1:11" s="9" customFormat="1" ht="33.950000000000003" customHeight="1" thickBot="1">
      <c r="A27" s="545">
        <v>17</v>
      </c>
      <c r="B27" s="40"/>
      <c r="C27" s="57"/>
      <c r="D27" s="57"/>
      <c r="E27" s="119"/>
      <c r="F27" s="1352"/>
      <c r="G27" s="1352"/>
      <c r="J27" s="61"/>
      <c r="K27" s="87"/>
    </row>
    <row r="28" spans="1:11" s="9" customFormat="1" ht="33.950000000000003" customHeight="1" thickBot="1">
      <c r="A28" s="545">
        <v>18</v>
      </c>
      <c r="B28" s="40"/>
      <c r="C28" s="57"/>
      <c r="D28" s="57"/>
      <c r="E28" s="119"/>
      <c r="F28" s="1352"/>
      <c r="G28" s="1352"/>
      <c r="J28" s="61"/>
      <c r="K28" s="87"/>
    </row>
    <row r="29" spans="1:11" s="9" customFormat="1" ht="33.950000000000003" customHeight="1" thickBot="1">
      <c r="A29" s="545">
        <v>19</v>
      </c>
      <c r="B29" s="40"/>
      <c r="C29" s="57"/>
      <c r="D29" s="57"/>
      <c r="E29" s="119"/>
      <c r="F29" s="1352"/>
      <c r="G29" s="1352"/>
      <c r="J29" s="61"/>
      <c r="K29" s="87"/>
    </row>
    <row r="30" spans="1:11" s="9" customFormat="1" ht="33.950000000000003" customHeight="1" thickBot="1">
      <c r="A30" s="545">
        <v>20</v>
      </c>
      <c r="B30" s="40"/>
      <c r="C30" s="57"/>
      <c r="D30" s="57"/>
      <c r="E30" s="119"/>
      <c r="F30" s="1352"/>
      <c r="G30" s="1352"/>
      <c r="J30" s="61"/>
      <c r="K30" s="160"/>
    </row>
    <row r="31" spans="1:11">
      <c r="H31" s="623"/>
      <c r="I31" s="623"/>
      <c r="J31" s="191"/>
    </row>
  </sheetData>
  <sheetProtection selectLockedCells="1"/>
  <mergeCells count="29">
    <mergeCell ref="B7:F7"/>
    <mergeCell ref="A1:G1"/>
    <mergeCell ref="A2:F2"/>
    <mergeCell ref="H2:H4"/>
    <mergeCell ref="F4:G4"/>
    <mergeCell ref="B6:F6"/>
    <mergeCell ref="F21:G21"/>
    <mergeCell ref="F8:G8"/>
    <mergeCell ref="F11:G11"/>
    <mergeCell ref="F12:G12"/>
    <mergeCell ref="F13:G13"/>
    <mergeCell ref="F14:G14"/>
    <mergeCell ref="F15:G15"/>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s>
  <phoneticPr fontId="10"/>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G7" sqref="G7"/>
    </sheetView>
  </sheetViews>
  <sheetFormatPr defaultColWidth="9" defaultRowHeight="13.5"/>
  <cols>
    <col min="1" max="1" width="3.625" customWidth="1"/>
    <col min="2" max="2" width="15.625" customWidth="1"/>
    <col min="3" max="3" width="30.625" customWidth="1"/>
    <col min="4" max="4" width="25.25" customWidth="1"/>
    <col min="5" max="5" width="20.625" customWidth="1"/>
    <col min="6" max="6" width="32.875" customWidth="1"/>
    <col min="7" max="7" width="25.625" customWidth="1"/>
    <col min="8" max="8" width="2.625" style="59" customWidth="1"/>
    <col min="9" max="9" width="6" style="59" hidden="1" customWidth="1"/>
    <col min="10" max="10" width="2.25" style="59" hidden="1" customWidth="1"/>
    <col min="11" max="11" width="80.625" style="340" customWidth="1"/>
    <col min="12" max="13" width="0" hidden="1" customWidth="1"/>
  </cols>
  <sheetData>
    <row r="1" spans="1:13" s="955" customFormat="1" ht="20.100000000000001" customHeight="1" thickBot="1">
      <c r="A1" s="1226" t="s">
        <v>257</v>
      </c>
      <c r="B1" s="1226"/>
      <c r="C1" s="1226"/>
      <c r="D1" s="1226"/>
      <c r="E1" s="1226"/>
      <c r="F1" s="1226"/>
      <c r="G1" s="1226"/>
      <c r="H1" s="884"/>
      <c r="I1" s="884"/>
      <c r="J1" s="97"/>
      <c r="K1" s="954"/>
    </row>
    <row r="2" spans="1:13" s="955" customFormat="1" ht="24.95" customHeight="1" thickTop="1" thickBot="1">
      <c r="A2" s="893"/>
      <c r="B2" s="956"/>
      <c r="C2" s="1228" t="s">
        <v>1803</v>
      </c>
      <c r="D2" s="1228"/>
      <c r="E2" s="1228"/>
      <c r="F2" s="1248"/>
      <c r="G2" s="533" t="str">
        <f>IF(AND('様式4（全般事項）'!G5&lt;&gt;"地域がん診療病院",'様式4（全般事項）'!G6&lt;&gt;"地域がん診療病院",'様式4（全般事項）'!G6&lt;&gt;"地域がん診療病院(特例型)"),"不要",IF(COUNTIF(I:I,"×")&gt;=1,"未入力あり","入力済"))</f>
        <v>不要</v>
      </c>
      <c r="H2" s="1749"/>
      <c r="I2" s="534"/>
      <c r="J2" s="97"/>
      <c r="K2" s="954"/>
    </row>
    <row r="3" spans="1:13" ht="5.0999999999999996" customHeight="1" thickTop="1">
      <c r="A3" s="532"/>
      <c r="B3" s="532"/>
      <c r="C3" s="532"/>
      <c r="D3" s="532"/>
      <c r="E3" s="532"/>
      <c r="F3" s="532"/>
      <c r="G3" s="532"/>
      <c r="H3" s="1749"/>
      <c r="I3" s="534"/>
    </row>
    <row r="4" spans="1:13" ht="20.100000000000001" customHeight="1">
      <c r="A4" s="957"/>
      <c r="B4" s="958"/>
      <c r="C4" s="532"/>
      <c r="D4" s="532"/>
      <c r="E4" s="557" t="s">
        <v>1236</v>
      </c>
      <c r="F4" s="1249" t="str">
        <f>表紙!E2</f>
        <v>市立豊中病院</v>
      </c>
      <c r="G4" s="1251"/>
      <c r="H4" s="1749"/>
      <c r="I4" s="534"/>
      <c r="K4" s="188" t="s">
        <v>268</v>
      </c>
    </row>
    <row r="5" spans="1:13" ht="20.100000000000001" customHeight="1">
      <c r="A5" s="532"/>
      <c r="B5" s="959"/>
      <c r="C5" s="532"/>
      <c r="D5" s="532"/>
      <c r="E5" s="557"/>
      <c r="F5" s="59"/>
      <c r="G5" s="640"/>
      <c r="K5" s="87"/>
    </row>
    <row r="6" spans="1:13" ht="9.75" customHeight="1" thickBot="1">
      <c r="A6" s="532"/>
      <c r="B6" s="532"/>
      <c r="C6" s="532"/>
      <c r="D6" s="532"/>
      <c r="E6" s="557"/>
      <c r="F6" s="59"/>
      <c r="G6" s="640"/>
      <c r="K6" s="87"/>
    </row>
    <row r="7" spans="1:13" ht="20.100000000000001" customHeight="1" thickBot="1">
      <c r="A7" s="532" t="s">
        <v>1842</v>
      </c>
      <c r="B7" s="532"/>
      <c r="C7" s="532"/>
      <c r="D7" s="532"/>
      <c r="E7" s="557" t="s">
        <v>1804</v>
      </c>
      <c r="F7" s="59" t="str">
        <f>+'事務局使用（発出時は非表示にすること）'!B4</f>
        <v>令和５年１月１日～12月31日</v>
      </c>
      <c r="G7" s="335"/>
      <c r="I7" s="61" t="str">
        <f>IF(G7="","×","○")</f>
        <v>×</v>
      </c>
      <c r="K7" s="175"/>
      <c r="L7" s="375">
        <v>0</v>
      </c>
      <c r="M7" s="376">
        <v>100</v>
      </c>
    </row>
    <row r="8" spans="1:13" ht="13.5" customHeight="1">
      <c r="A8" s="532"/>
      <c r="B8" s="532"/>
      <c r="C8" s="532"/>
      <c r="D8" s="532"/>
      <c r="E8" s="557"/>
      <c r="F8" s="59"/>
      <c r="G8" s="640"/>
      <c r="K8" s="87"/>
    </row>
    <row r="9" spans="1:13" ht="19.5" customHeight="1">
      <c r="A9" s="532" t="s">
        <v>1843</v>
      </c>
      <c r="B9" s="532"/>
      <c r="C9" s="532"/>
      <c r="D9" s="532"/>
      <c r="E9" s="557" t="s">
        <v>1844</v>
      </c>
      <c r="F9" s="59" t="str">
        <f>+'事務局使用（発出時は非表示にすること）'!B3</f>
        <v>令和６年９月１日時点</v>
      </c>
      <c r="G9" s="640"/>
      <c r="K9" s="87"/>
    </row>
    <row r="10" spans="1:13" s="9" customFormat="1" ht="20.100000000000001" customHeight="1" thickBot="1">
      <c r="A10" s="538"/>
      <c r="B10" s="1097" t="s">
        <v>1845</v>
      </c>
      <c r="C10" s="951" t="s">
        <v>1846</v>
      </c>
      <c r="D10" s="1268" t="s">
        <v>1847</v>
      </c>
      <c r="E10" s="1404"/>
      <c r="F10" s="1404"/>
      <c r="G10" s="1404"/>
      <c r="H10" s="61"/>
      <c r="I10" s="61"/>
      <c r="J10" s="61"/>
      <c r="K10" s="87"/>
    </row>
    <row r="11" spans="1:13" s="9" customFormat="1" ht="44.1" customHeight="1" thickBot="1">
      <c r="A11" s="545">
        <v>1</v>
      </c>
      <c r="B11" s="57"/>
      <c r="C11" s="57"/>
      <c r="D11" s="1352"/>
      <c r="E11" s="1352"/>
      <c r="F11" s="1352"/>
      <c r="G11" s="1352"/>
      <c r="H11" s="960" t="str">
        <f>IF(AND(G2="あり",B11&lt;&gt;"",C11&lt;&gt;"",D11&lt;&gt;""),"OK",IF(G2&lt;&gt;"あり","",IF(OR(B11="",C11="",D11=""),"未記入あり","")))</f>
        <v/>
      </c>
      <c r="I11" s="61" t="str">
        <f>IF(OR(B11="",C11="",D11=""),"×","○")</f>
        <v>×</v>
      </c>
      <c r="J11" s="61"/>
      <c r="K11" s="87"/>
    </row>
    <row r="12" spans="1:13" s="9" customFormat="1" ht="44.1" customHeight="1" thickBot="1">
      <c r="A12" s="545">
        <v>2</v>
      </c>
      <c r="B12" s="57"/>
      <c r="C12" s="57"/>
      <c r="D12" s="1352"/>
      <c r="E12" s="1352"/>
      <c r="F12" s="1352"/>
      <c r="G12" s="1352"/>
      <c r="H12" s="61"/>
      <c r="I12" s="61"/>
      <c r="J12" s="61"/>
      <c r="K12" s="87"/>
    </row>
    <row r="13" spans="1:13" s="9" customFormat="1" ht="44.1" customHeight="1" thickBot="1">
      <c r="A13" s="545">
        <v>3</v>
      </c>
      <c r="B13" s="57"/>
      <c r="C13" s="57"/>
      <c r="D13" s="1352"/>
      <c r="E13" s="1352"/>
      <c r="F13" s="1352"/>
      <c r="G13" s="1352"/>
      <c r="H13" s="61"/>
      <c r="I13" s="61"/>
      <c r="J13" s="61"/>
      <c r="K13" s="87"/>
    </row>
    <row r="14" spans="1:13" s="9" customFormat="1" ht="44.1" customHeight="1" thickBot="1">
      <c r="A14" s="545">
        <v>4</v>
      </c>
      <c r="B14" s="57"/>
      <c r="C14" s="57"/>
      <c r="D14" s="1352"/>
      <c r="E14" s="1352"/>
      <c r="F14" s="1352"/>
      <c r="G14" s="1352"/>
      <c r="H14" s="61"/>
      <c r="I14" s="61"/>
      <c r="J14" s="61"/>
      <c r="K14" s="87"/>
    </row>
    <row r="15" spans="1:13" s="9" customFormat="1" ht="44.1" customHeight="1" thickBot="1">
      <c r="A15" s="545">
        <v>5</v>
      </c>
      <c r="B15" s="57"/>
      <c r="C15" s="57"/>
      <c r="D15" s="1352"/>
      <c r="E15" s="1352"/>
      <c r="F15" s="1352"/>
      <c r="G15" s="1352"/>
      <c r="H15" s="61"/>
      <c r="I15" s="61"/>
      <c r="J15" s="61"/>
      <c r="K15" s="87"/>
    </row>
    <row r="16" spans="1:13" s="9" customFormat="1" ht="44.1" customHeight="1" thickBot="1">
      <c r="A16" s="545">
        <v>6</v>
      </c>
      <c r="B16" s="57"/>
      <c r="C16" s="57"/>
      <c r="D16" s="1352"/>
      <c r="E16" s="1352"/>
      <c r="F16" s="1352"/>
      <c r="G16" s="1352"/>
      <c r="H16" s="61"/>
      <c r="I16" s="61"/>
      <c r="J16" s="61"/>
      <c r="K16" s="87"/>
    </row>
    <row r="17" spans="1:11" s="9" customFormat="1" ht="44.1" customHeight="1" thickBot="1">
      <c r="A17" s="545">
        <v>7</v>
      </c>
      <c r="B17" s="57"/>
      <c r="C17" s="57"/>
      <c r="D17" s="1352"/>
      <c r="E17" s="1352"/>
      <c r="F17" s="1352"/>
      <c r="G17" s="1352"/>
      <c r="H17" s="61"/>
      <c r="I17" s="61"/>
      <c r="J17" s="61"/>
      <c r="K17" s="87"/>
    </row>
    <row r="18" spans="1:11" s="9" customFormat="1" ht="44.1" customHeight="1" thickBot="1">
      <c r="A18" s="545">
        <v>8</v>
      </c>
      <c r="B18" s="57"/>
      <c r="C18" s="57"/>
      <c r="D18" s="1352"/>
      <c r="E18" s="1352"/>
      <c r="F18" s="1352"/>
      <c r="G18" s="1352"/>
      <c r="H18" s="61"/>
      <c r="I18" s="61"/>
      <c r="J18" s="61"/>
      <c r="K18" s="87"/>
    </row>
    <row r="19" spans="1:11" s="9" customFormat="1" ht="44.1" customHeight="1" thickBot="1">
      <c r="A19" s="545">
        <v>9</v>
      </c>
      <c r="B19" s="57"/>
      <c r="C19" s="57"/>
      <c r="D19" s="1352"/>
      <c r="E19" s="1352"/>
      <c r="F19" s="1352"/>
      <c r="G19" s="1352"/>
      <c r="H19" s="61"/>
      <c r="I19" s="61"/>
      <c r="J19" s="61"/>
      <c r="K19" s="87"/>
    </row>
    <row r="20" spans="1:11" s="9" customFormat="1" ht="44.1" customHeight="1" thickBot="1">
      <c r="A20" s="545">
        <v>10</v>
      </c>
      <c r="B20" s="57"/>
      <c r="C20" s="57"/>
      <c r="D20" s="1352"/>
      <c r="E20" s="1352"/>
      <c r="F20" s="1352"/>
      <c r="G20" s="1352"/>
      <c r="H20" s="61"/>
      <c r="I20" s="61"/>
      <c r="J20" s="61"/>
      <c r="K20" s="160"/>
    </row>
    <row r="21" spans="1:11" s="9" customFormat="1" ht="12">
      <c r="H21" s="191" t="s">
        <v>269</v>
      </c>
      <c r="I21" s="191"/>
      <c r="J21" s="191"/>
      <c r="K21" s="120"/>
    </row>
    <row r="22" spans="1:11" s="9" customFormat="1" ht="12">
      <c r="H22" s="61"/>
      <c r="I22" s="61"/>
      <c r="J22" s="61"/>
      <c r="K22" s="120"/>
    </row>
    <row r="23" spans="1:11" s="9" customFormat="1" ht="12">
      <c r="H23" s="61"/>
      <c r="I23" s="61"/>
      <c r="J23" s="61"/>
      <c r="K23" s="120"/>
    </row>
    <row r="24" spans="1:11" s="9" customFormat="1" ht="12">
      <c r="H24" s="61"/>
      <c r="I24" s="61"/>
      <c r="J24" s="61"/>
      <c r="K24" s="120"/>
    </row>
    <row r="25" spans="1:11" s="9" customFormat="1" ht="12">
      <c r="H25" s="61"/>
      <c r="I25" s="61"/>
      <c r="J25" s="61"/>
      <c r="K25" s="120"/>
    </row>
    <row r="26" spans="1:11" s="9" customFormat="1" ht="12">
      <c r="H26" s="61"/>
      <c r="I26" s="61"/>
      <c r="J26" s="61"/>
      <c r="K26" s="120"/>
    </row>
    <row r="27" spans="1:11" s="9" customFormat="1" ht="12">
      <c r="H27" s="61"/>
      <c r="I27" s="61"/>
      <c r="J27" s="61"/>
      <c r="K27" s="120"/>
    </row>
    <row r="28" spans="1:11" s="9" customFormat="1" ht="12">
      <c r="H28" s="61"/>
      <c r="I28" s="61"/>
      <c r="J28" s="61"/>
      <c r="K28" s="120"/>
    </row>
    <row r="29" spans="1:11" s="9" customFormat="1" ht="12">
      <c r="H29" s="61"/>
      <c r="I29" s="61"/>
      <c r="J29" s="61"/>
      <c r="K29" s="120"/>
    </row>
    <row r="30" spans="1:11" s="9" customFormat="1" ht="12">
      <c r="H30" s="61"/>
      <c r="I30" s="61"/>
      <c r="J30" s="61"/>
      <c r="K30" s="120"/>
    </row>
    <row r="31" spans="1:11" s="9" customFormat="1" ht="12">
      <c r="H31" s="61"/>
      <c r="I31" s="61"/>
      <c r="J31" s="61"/>
      <c r="K31" s="120"/>
    </row>
    <row r="32" spans="1:11" s="9" customFormat="1" ht="12">
      <c r="H32" s="61"/>
      <c r="I32" s="61"/>
      <c r="J32" s="61"/>
      <c r="K32" s="120"/>
    </row>
    <row r="33" spans="8:11" s="9" customFormat="1" ht="12">
      <c r="H33" s="61"/>
      <c r="I33" s="61"/>
      <c r="J33" s="61"/>
      <c r="K33" s="120"/>
    </row>
    <row r="34" spans="8:11" s="9" customFormat="1" ht="12">
      <c r="H34" s="61"/>
      <c r="I34" s="61"/>
      <c r="J34" s="61"/>
      <c r="K34" s="120"/>
    </row>
    <row r="35" spans="8:11" s="9" customFormat="1" ht="12">
      <c r="H35" s="61"/>
      <c r="I35" s="61"/>
      <c r="J35" s="61"/>
      <c r="K35" s="120"/>
    </row>
    <row r="36" spans="8:11" s="9" customFormat="1" ht="12">
      <c r="H36" s="61"/>
      <c r="I36" s="61"/>
      <c r="J36" s="61"/>
      <c r="K36" s="120"/>
    </row>
  </sheetData>
  <sheetProtection selectLockedCells="1"/>
  <mergeCells count="15">
    <mergeCell ref="D20:G20"/>
    <mergeCell ref="D10:G10"/>
    <mergeCell ref="D11:G11"/>
    <mergeCell ref="D12:G12"/>
    <mergeCell ref="D15:G15"/>
    <mergeCell ref="D16:G16"/>
    <mergeCell ref="D17:G17"/>
    <mergeCell ref="D18:G18"/>
    <mergeCell ref="D19:G19"/>
    <mergeCell ref="H2:H4"/>
    <mergeCell ref="A1:G1"/>
    <mergeCell ref="D13:G13"/>
    <mergeCell ref="D14:G14"/>
    <mergeCell ref="F4:G4"/>
    <mergeCell ref="C2:F2"/>
  </mergeCells>
  <phoneticPr fontId="10"/>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2"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625" customWidth="1"/>
    <col min="2" max="2" width="10.625" customWidth="1"/>
    <col min="3" max="3" width="24.375" customWidth="1"/>
    <col min="4" max="4" width="30.625" customWidth="1"/>
    <col min="5" max="5" width="24.625" customWidth="1"/>
    <col min="6" max="6" width="8.625" customWidth="1"/>
    <col min="7" max="7" width="2.625" customWidth="1"/>
    <col min="8" max="8" width="6" hidden="1" customWidth="1"/>
    <col min="9" max="9" width="2.25" style="59" hidden="1" customWidth="1"/>
    <col min="10" max="10" width="80.625" style="340" customWidth="1"/>
  </cols>
  <sheetData>
    <row r="1" spans="1:10" ht="20.100000000000001" customHeight="1" thickBot="1">
      <c r="A1" s="1226" t="s">
        <v>1848</v>
      </c>
      <c r="B1" s="1226"/>
      <c r="C1" s="1226"/>
      <c r="D1" s="1226"/>
      <c r="E1" s="1226"/>
      <c r="F1" s="1226"/>
      <c r="I1" s="97"/>
    </row>
    <row r="2" spans="1:10" ht="24.95" customHeight="1" thickTop="1" thickBot="1">
      <c r="A2" s="1228" t="s">
        <v>1803</v>
      </c>
      <c r="B2" s="1228"/>
      <c r="C2" s="1228"/>
      <c r="D2" s="1228"/>
      <c r="E2" s="1248"/>
      <c r="F2" s="533" t="str">
        <f>IF(AND('様式4（全般事項）'!G5&lt;&gt;"地域がん診療病院",'様式4（全般事項）'!G6&lt;&gt;"地域がん診療病院",'様式4（全般事項）'!G6&lt;&gt;"地域がん診療病院(特例型)"),"不要",IF(COUNTIF(H:H,"×")&gt;=1,"未入力あり","入力済"))</f>
        <v>不要</v>
      </c>
      <c r="G2" s="1234"/>
      <c r="H2" s="594"/>
      <c r="I2" s="97"/>
    </row>
    <row r="3" spans="1:10" ht="5.0999999999999996" customHeight="1" thickTop="1">
      <c r="A3" s="532"/>
      <c r="B3" s="532"/>
      <c r="C3" s="532"/>
      <c r="D3" s="532"/>
      <c r="E3" s="532"/>
      <c r="F3" s="532"/>
      <c r="G3" s="1234"/>
      <c r="H3" s="594"/>
    </row>
    <row r="4" spans="1:10" ht="20.100000000000001" customHeight="1">
      <c r="A4" s="532"/>
      <c r="B4" s="958"/>
      <c r="C4" s="532"/>
      <c r="D4" s="536" t="s">
        <v>1222</v>
      </c>
      <c r="E4" s="1436" t="str">
        <f>表紙!E2</f>
        <v>市立豊中病院</v>
      </c>
      <c r="F4" s="1438"/>
      <c r="G4" s="1234"/>
      <c r="H4" s="594"/>
      <c r="J4" s="188" t="s">
        <v>268</v>
      </c>
    </row>
    <row r="5" spans="1:10" ht="20.100000000000001" customHeight="1">
      <c r="A5" s="532"/>
      <c r="B5" s="959"/>
      <c r="C5" s="532"/>
      <c r="D5" s="536" t="s">
        <v>1223</v>
      </c>
      <c r="E5" t="str">
        <f>+'事務局使用（発出時は非表示にすること）'!$B$4</f>
        <v>令和５年１月１日～12月31日</v>
      </c>
      <c r="F5" s="640"/>
      <c r="J5" s="87"/>
    </row>
    <row r="6" spans="1:10" s="9" customFormat="1" ht="18" customHeight="1">
      <c r="A6" s="581"/>
      <c r="B6" s="1287" t="s">
        <v>1849</v>
      </c>
      <c r="C6" s="1828"/>
      <c r="D6" s="1828"/>
      <c r="E6" s="1828"/>
      <c r="F6" s="581"/>
      <c r="I6" s="61"/>
      <c r="J6" s="87"/>
    </row>
    <row r="7" spans="1:10" s="9" customFormat="1" ht="18" customHeight="1">
      <c r="A7" s="581"/>
      <c r="B7" s="1827" t="s">
        <v>1827</v>
      </c>
      <c r="C7" s="1827"/>
      <c r="D7" s="1827"/>
      <c r="E7" s="1827"/>
      <c r="F7" s="581"/>
      <c r="I7" s="61"/>
      <c r="J7" s="87"/>
    </row>
    <row r="8" spans="1:10" s="9" customFormat="1" ht="20.100000000000001" customHeight="1" thickBot="1">
      <c r="A8" s="642"/>
      <c r="B8" s="950" t="s">
        <v>1828</v>
      </c>
      <c r="C8" s="951" t="s">
        <v>1829</v>
      </c>
      <c r="D8" s="951" t="s">
        <v>1831</v>
      </c>
      <c r="E8" s="1825" t="s">
        <v>1832</v>
      </c>
      <c r="F8" s="1826"/>
      <c r="I8" s="61"/>
      <c r="J8" s="175"/>
    </row>
    <row r="9" spans="1:10" s="9" customFormat="1" ht="32.25" customHeight="1">
      <c r="A9" s="961" t="s">
        <v>1228</v>
      </c>
      <c r="B9" s="952" t="s">
        <v>1833</v>
      </c>
      <c r="C9" s="953" t="s">
        <v>1850</v>
      </c>
      <c r="D9" s="543" t="s">
        <v>1835</v>
      </c>
      <c r="E9" s="1824" t="s">
        <v>1851</v>
      </c>
      <c r="F9" s="1824"/>
      <c r="I9" s="61"/>
      <c r="J9" s="87"/>
    </row>
    <row r="10" spans="1:10" s="9" customFormat="1" ht="33.950000000000003" customHeight="1" thickBot="1">
      <c r="A10" s="545">
        <v>1</v>
      </c>
      <c r="B10" s="40"/>
      <c r="C10" s="58"/>
      <c r="D10" s="119"/>
      <c r="E10" s="1352"/>
      <c r="F10" s="1352"/>
      <c r="G10" s="203"/>
      <c r="H10" s="9" t="str">
        <f>IF(OR(B10="",C10="",D10="",E10=""),"×","○")</f>
        <v>×</v>
      </c>
      <c r="I10" s="61"/>
      <c r="J10" s="87"/>
    </row>
    <row r="11" spans="1:10" s="9" customFormat="1" ht="33.950000000000003" customHeight="1" thickBot="1">
      <c r="A11" s="545">
        <v>2</v>
      </c>
      <c r="B11" s="40"/>
      <c r="C11" s="57"/>
      <c r="D11" s="119"/>
      <c r="E11" s="1352"/>
      <c r="F11" s="1352"/>
      <c r="I11" s="61"/>
      <c r="J11" s="87"/>
    </row>
    <row r="12" spans="1:10" s="9" customFormat="1" ht="33.950000000000003" customHeight="1" thickBot="1">
      <c r="A12" s="545">
        <v>3</v>
      </c>
      <c r="B12" s="40"/>
      <c r="C12" s="57"/>
      <c r="D12" s="119"/>
      <c r="E12" s="1352"/>
      <c r="F12" s="1352"/>
      <c r="I12" s="61"/>
      <c r="J12" s="87"/>
    </row>
    <row r="13" spans="1:10" s="9" customFormat="1" ht="33.950000000000003" customHeight="1" thickBot="1">
      <c r="A13" s="545">
        <v>4</v>
      </c>
      <c r="B13" s="40"/>
      <c r="C13" s="57"/>
      <c r="D13" s="119"/>
      <c r="E13" s="1352"/>
      <c r="F13" s="1352"/>
      <c r="I13" s="61"/>
      <c r="J13" s="87"/>
    </row>
    <row r="14" spans="1:10" s="9" customFormat="1" ht="33.950000000000003" customHeight="1" thickBot="1">
      <c r="A14" s="545">
        <v>5</v>
      </c>
      <c r="B14" s="40"/>
      <c r="C14" s="57"/>
      <c r="D14" s="119"/>
      <c r="E14" s="1352"/>
      <c r="F14" s="1352"/>
      <c r="I14" s="61"/>
      <c r="J14" s="87"/>
    </row>
    <row r="15" spans="1:10" s="9" customFormat="1" ht="33.950000000000003" customHeight="1" thickBot="1">
      <c r="A15" s="545">
        <v>6</v>
      </c>
      <c r="B15" s="40"/>
      <c r="C15" s="57"/>
      <c r="D15" s="119"/>
      <c r="E15" s="1352"/>
      <c r="F15" s="1352"/>
      <c r="I15" s="61"/>
      <c r="J15" s="87"/>
    </row>
    <row r="16" spans="1:10" s="9" customFormat="1" ht="33.950000000000003" customHeight="1" thickBot="1">
      <c r="A16" s="545">
        <v>7</v>
      </c>
      <c r="B16" s="40"/>
      <c r="C16" s="57"/>
      <c r="D16" s="119"/>
      <c r="E16" s="1352"/>
      <c r="F16" s="1352"/>
      <c r="I16" s="61"/>
      <c r="J16" s="87"/>
    </row>
    <row r="17" spans="1:10" s="9" customFormat="1" ht="33.950000000000003" customHeight="1" thickBot="1">
      <c r="A17" s="545">
        <v>8</v>
      </c>
      <c r="B17" s="40"/>
      <c r="C17" s="57"/>
      <c r="D17" s="119"/>
      <c r="E17" s="1352"/>
      <c r="F17" s="1352"/>
      <c r="I17" s="61"/>
      <c r="J17" s="87"/>
    </row>
    <row r="18" spans="1:10" s="9" customFormat="1" ht="33.950000000000003" customHeight="1" thickBot="1">
      <c r="A18" s="545">
        <v>9</v>
      </c>
      <c r="B18" s="40"/>
      <c r="C18" s="57"/>
      <c r="D18" s="119"/>
      <c r="E18" s="1352"/>
      <c r="F18" s="1352"/>
      <c r="I18" s="61"/>
      <c r="J18" s="87"/>
    </row>
    <row r="19" spans="1:10" s="9" customFormat="1" ht="33.950000000000003" customHeight="1" thickBot="1">
      <c r="A19" s="545">
        <v>10</v>
      </c>
      <c r="B19" s="40"/>
      <c r="C19" s="57"/>
      <c r="D19" s="119"/>
      <c r="E19" s="1352"/>
      <c r="F19" s="1352"/>
      <c r="I19" s="61"/>
      <c r="J19" s="87"/>
    </row>
    <row r="20" spans="1:10" s="9" customFormat="1" ht="33.950000000000003" customHeight="1" thickBot="1">
      <c r="A20" s="545">
        <v>11</v>
      </c>
      <c r="B20" s="40"/>
      <c r="C20" s="57"/>
      <c r="D20" s="119"/>
      <c r="E20" s="1352"/>
      <c r="F20" s="1352"/>
      <c r="I20" s="61"/>
      <c r="J20" s="87"/>
    </row>
    <row r="21" spans="1:10" s="9" customFormat="1" ht="33.950000000000003" customHeight="1" thickBot="1">
      <c r="A21" s="545">
        <v>12</v>
      </c>
      <c r="B21" s="40"/>
      <c r="C21" s="57"/>
      <c r="D21" s="119"/>
      <c r="E21" s="1352"/>
      <c r="F21" s="1352"/>
      <c r="I21" s="61"/>
      <c r="J21" s="87"/>
    </row>
    <row r="22" spans="1:10" s="9" customFormat="1" ht="33.950000000000003" customHeight="1" thickBot="1">
      <c r="A22" s="545">
        <v>13</v>
      </c>
      <c r="B22" s="40"/>
      <c r="C22" s="57"/>
      <c r="D22" s="119"/>
      <c r="E22" s="1352"/>
      <c r="F22" s="1352"/>
      <c r="I22" s="61"/>
      <c r="J22" s="87"/>
    </row>
    <row r="23" spans="1:10" s="9" customFormat="1" ht="33.950000000000003" customHeight="1" thickBot="1">
      <c r="A23" s="545">
        <v>14</v>
      </c>
      <c r="B23" s="40"/>
      <c r="C23" s="57"/>
      <c r="D23" s="119"/>
      <c r="E23" s="1352"/>
      <c r="F23" s="1352"/>
      <c r="I23" s="61"/>
      <c r="J23" s="87"/>
    </row>
    <row r="24" spans="1:10" s="9" customFormat="1" ht="33.950000000000003" customHeight="1" thickBot="1">
      <c r="A24" s="545">
        <v>15</v>
      </c>
      <c r="B24" s="40"/>
      <c r="C24" s="57"/>
      <c r="D24" s="119"/>
      <c r="E24" s="1352"/>
      <c r="F24" s="1352"/>
      <c r="I24" s="61"/>
      <c r="J24" s="87"/>
    </row>
    <row r="25" spans="1:10" s="9" customFormat="1" ht="33.950000000000003" customHeight="1" thickBot="1">
      <c r="A25" s="545">
        <v>16</v>
      </c>
      <c r="B25" s="40"/>
      <c r="C25" s="57"/>
      <c r="D25" s="119"/>
      <c r="E25" s="1352"/>
      <c r="F25" s="1352"/>
      <c r="I25" s="61"/>
      <c r="J25" s="87"/>
    </row>
    <row r="26" spans="1:10" s="9" customFormat="1" ht="33.950000000000003" customHeight="1" thickBot="1">
      <c r="A26" s="545">
        <v>17</v>
      </c>
      <c r="B26" s="40"/>
      <c r="C26" s="57"/>
      <c r="D26" s="119"/>
      <c r="E26" s="1352"/>
      <c r="F26" s="1352"/>
      <c r="I26" s="61"/>
      <c r="J26" s="87"/>
    </row>
    <row r="27" spans="1:10" s="9" customFormat="1" ht="33.950000000000003" customHeight="1" thickBot="1">
      <c r="A27" s="545">
        <v>18</v>
      </c>
      <c r="B27" s="40"/>
      <c r="C27" s="57"/>
      <c r="D27" s="119"/>
      <c r="E27" s="1352"/>
      <c r="F27" s="1352"/>
      <c r="I27" s="61"/>
      <c r="J27" s="87"/>
    </row>
    <row r="28" spans="1:10" s="9" customFormat="1" ht="33.950000000000003" customHeight="1" thickBot="1">
      <c r="A28" s="545">
        <v>19</v>
      </c>
      <c r="B28" s="40"/>
      <c r="C28" s="57"/>
      <c r="D28" s="119"/>
      <c r="E28" s="1352"/>
      <c r="F28" s="1352"/>
      <c r="I28" s="61"/>
      <c r="J28" s="87"/>
    </row>
    <row r="29" spans="1:10" s="9" customFormat="1" ht="33.950000000000003" customHeight="1" thickBot="1">
      <c r="A29" s="545">
        <v>20</v>
      </c>
      <c r="B29" s="40"/>
      <c r="C29" s="57"/>
      <c r="D29" s="119"/>
      <c r="E29" s="1352"/>
      <c r="F29" s="1352"/>
      <c r="I29" s="61"/>
      <c r="J29" s="160"/>
    </row>
    <row r="30" spans="1:10">
      <c r="G30" s="623" t="s">
        <v>269</v>
      </c>
      <c r="H30" s="623"/>
      <c r="I30" s="191"/>
    </row>
  </sheetData>
  <sheetProtection selectLockedCells="1"/>
  <mergeCells count="28">
    <mergeCell ref="E14:F14"/>
    <mergeCell ref="E15:F15"/>
    <mergeCell ref="E16:F16"/>
    <mergeCell ref="E17:F17"/>
    <mergeCell ref="E28:F28"/>
    <mergeCell ref="E18:F18"/>
    <mergeCell ref="E19:F19"/>
    <mergeCell ref="E20:F20"/>
    <mergeCell ref="E21:F21"/>
    <mergeCell ref="E29:F29"/>
    <mergeCell ref="E22:F22"/>
    <mergeCell ref="E23:F23"/>
    <mergeCell ref="E24:F24"/>
    <mergeCell ref="E25:F25"/>
    <mergeCell ref="E26:F26"/>
    <mergeCell ref="E27:F27"/>
    <mergeCell ref="A1:F1"/>
    <mergeCell ref="E4:F4"/>
    <mergeCell ref="E8:F8"/>
    <mergeCell ref="E10:F10"/>
    <mergeCell ref="B6:E6"/>
    <mergeCell ref="B7:E7"/>
    <mergeCell ref="E9:F9"/>
    <mergeCell ref="G2:G4"/>
    <mergeCell ref="E11:F11"/>
    <mergeCell ref="E12:F12"/>
    <mergeCell ref="E13:F13"/>
    <mergeCell ref="A2:E2"/>
  </mergeCells>
  <phoneticPr fontId="10"/>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B7" sqref="B7"/>
    </sheetView>
  </sheetViews>
  <sheetFormatPr defaultColWidth="9" defaultRowHeight="13.5"/>
  <cols>
    <col min="1" max="1" width="3.625" customWidth="1"/>
    <col min="2" max="2" width="15.625" customWidth="1"/>
    <col min="3" max="3" width="30.625" customWidth="1"/>
    <col min="4" max="5" width="20.625" customWidth="1"/>
    <col min="6" max="7" width="25.625" customWidth="1"/>
    <col min="8" max="8" width="2.625" customWidth="1"/>
    <col min="9" max="9" width="6" hidden="1" customWidth="1"/>
    <col min="10" max="10" width="2.25" style="59" hidden="1" customWidth="1"/>
    <col min="11" max="11" width="80.625" style="340" customWidth="1"/>
  </cols>
  <sheetData>
    <row r="1" spans="1:11" s="955" customFormat="1" ht="20.100000000000001" customHeight="1" thickBot="1">
      <c r="A1" s="1226" t="s">
        <v>257</v>
      </c>
      <c r="B1" s="1226"/>
      <c r="C1" s="1226"/>
      <c r="D1" s="1226"/>
      <c r="E1" s="1226"/>
      <c r="F1" s="1226"/>
      <c r="G1" s="1226"/>
      <c r="J1" s="99"/>
      <c r="K1" s="954"/>
    </row>
    <row r="2" spans="1:11" s="955" customFormat="1" ht="24.95" customHeight="1" thickTop="1" thickBot="1">
      <c r="A2" s="893"/>
      <c r="B2" s="893"/>
      <c r="C2" s="1228" t="s">
        <v>1803</v>
      </c>
      <c r="D2" s="1228"/>
      <c r="E2" s="1228"/>
      <c r="F2" s="1248"/>
      <c r="G2" s="533"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234"/>
      <c r="I2" s="594"/>
      <c r="J2" s="884"/>
      <c r="K2" s="188" t="s">
        <v>268</v>
      </c>
    </row>
    <row r="3" spans="1:11" ht="5.0999999999999996" customHeight="1" thickTop="1">
      <c r="A3" s="532"/>
      <c r="B3" s="532"/>
      <c r="C3" s="532"/>
      <c r="D3" s="532"/>
      <c r="E3" s="532"/>
      <c r="F3" s="532"/>
      <c r="G3" s="532"/>
      <c r="H3" s="1234"/>
      <c r="I3" s="594"/>
      <c r="K3" s="189"/>
    </row>
    <row r="4" spans="1:11" ht="20.100000000000001" customHeight="1">
      <c r="A4" s="532"/>
      <c r="B4" s="532"/>
      <c r="C4" s="532"/>
      <c r="D4" s="532"/>
      <c r="E4" s="557" t="s">
        <v>1236</v>
      </c>
      <c r="F4" s="1249" t="str">
        <f>表紙!E2</f>
        <v>市立豊中病院</v>
      </c>
      <c r="G4" s="1251"/>
      <c r="H4" s="1234"/>
      <c r="I4" s="594"/>
      <c r="K4" s="87"/>
    </row>
    <row r="5" spans="1:11" ht="20.100000000000001" customHeight="1">
      <c r="A5" s="532" t="s">
        <v>1852</v>
      </c>
      <c r="B5" s="532"/>
      <c r="C5" s="532"/>
      <c r="D5" s="532"/>
      <c r="E5" s="557" t="s">
        <v>1853</v>
      </c>
      <c r="F5" t="str">
        <f>+'事務局使用（発出時は非表示にすること）'!$B$3</f>
        <v>令和６年９月１日時点</v>
      </c>
      <c r="G5" s="640"/>
      <c r="K5" s="87"/>
    </row>
    <row r="6" spans="1:11" s="9" customFormat="1" ht="20.100000000000001" customHeight="1" thickBot="1">
      <c r="A6" s="538"/>
      <c r="B6" s="1097" t="s">
        <v>1845</v>
      </c>
      <c r="C6" s="951" t="s">
        <v>1846</v>
      </c>
      <c r="D6" s="1268" t="s">
        <v>1847</v>
      </c>
      <c r="E6" s="1404"/>
      <c r="F6" s="1404"/>
      <c r="G6" s="1404"/>
      <c r="J6" s="61"/>
      <c r="K6" s="175"/>
    </row>
    <row r="7" spans="1:11" s="9" customFormat="1" ht="44.1" customHeight="1" thickBot="1">
      <c r="A7" s="545">
        <v>1</v>
      </c>
      <c r="B7" s="119"/>
      <c r="C7" s="119"/>
      <c r="D7" s="1352"/>
      <c r="E7" s="1352"/>
      <c r="F7" s="1352"/>
      <c r="G7" s="1352"/>
      <c r="H7" s="203"/>
      <c r="I7" s="9" t="str">
        <f>IF(OR(B7="",C7="",D7=""),"×","○")</f>
        <v>×</v>
      </c>
      <c r="J7" s="61"/>
      <c r="K7" s="87"/>
    </row>
    <row r="8" spans="1:11" s="9" customFormat="1" ht="44.1" customHeight="1" thickBot="1">
      <c r="A8" s="545">
        <v>2</v>
      </c>
      <c r="B8" s="119"/>
      <c r="C8" s="119" ph="1"/>
      <c r="D8" s="1352"/>
      <c r="E8" s="1352"/>
      <c r="F8" s="1352"/>
      <c r="G8" s="1352"/>
      <c r="J8" s="61"/>
      <c r="K8" s="87"/>
    </row>
    <row r="9" spans="1:11" s="9" customFormat="1" ht="44.1" customHeight="1" thickBot="1">
      <c r="A9" s="545">
        <v>3</v>
      </c>
      <c r="B9" s="119"/>
      <c r="C9" s="119"/>
      <c r="D9" s="1352"/>
      <c r="E9" s="1352"/>
      <c r="F9" s="1352"/>
      <c r="G9" s="1352"/>
      <c r="J9" s="61"/>
      <c r="K9" s="87"/>
    </row>
    <row r="10" spans="1:11" s="9" customFormat="1" ht="44.1" customHeight="1" thickBot="1">
      <c r="A10" s="545">
        <v>4</v>
      </c>
      <c r="B10" s="119"/>
      <c r="C10" s="119"/>
      <c r="D10" s="1352"/>
      <c r="E10" s="1352"/>
      <c r="F10" s="1352"/>
      <c r="G10" s="1352"/>
      <c r="J10" s="61"/>
      <c r="K10" s="87"/>
    </row>
    <row r="11" spans="1:11" s="9" customFormat="1" ht="44.1" customHeight="1" thickBot="1">
      <c r="A11" s="545">
        <v>5</v>
      </c>
      <c r="B11" s="119"/>
      <c r="C11" s="119"/>
      <c r="D11" s="1352"/>
      <c r="E11" s="1352"/>
      <c r="F11" s="1352"/>
      <c r="G11" s="1352"/>
      <c r="J11" s="61"/>
      <c r="K11" s="87"/>
    </row>
    <row r="12" spans="1:11" s="9" customFormat="1" ht="44.1" customHeight="1" thickBot="1">
      <c r="A12" s="545">
        <v>6</v>
      </c>
      <c r="B12" s="119"/>
      <c r="C12" s="119"/>
      <c r="D12" s="1352"/>
      <c r="E12" s="1352"/>
      <c r="F12" s="1352"/>
      <c r="G12" s="1352"/>
      <c r="J12" s="61"/>
      <c r="K12" s="87"/>
    </row>
    <row r="13" spans="1:11" s="9" customFormat="1" ht="44.1" customHeight="1" thickBot="1">
      <c r="A13" s="545">
        <v>7</v>
      </c>
      <c r="B13" s="119"/>
      <c r="C13" s="119"/>
      <c r="D13" s="1352"/>
      <c r="E13" s="1352"/>
      <c r="F13" s="1352"/>
      <c r="G13" s="1352"/>
      <c r="J13" s="61"/>
      <c r="K13" s="87"/>
    </row>
    <row r="14" spans="1:11" s="9" customFormat="1" ht="44.1" customHeight="1" thickBot="1">
      <c r="A14" s="545">
        <v>8</v>
      </c>
      <c r="B14" s="119"/>
      <c r="C14" s="119"/>
      <c r="D14" s="1352"/>
      <c r="E14" s="1352"/>
      <c r="F14" s="1352"/>
      <c r="G14" s="1352"/>
      <c r="J14" s="61"/>
      <c r="K14" s="87"/>
    </row>
    <row r="15" spans="1:11" s="9" customFormat="1" ht="44.1" customHeight="1" thickBot="1">
      <c r="A15" s="545">
        <v>9</v>
      </c>
      <c r="B15" s="119"/>
      <c r="C15" s="119"/>
      <c r="D15" s="1352"/>
      <c r="E15" s="1352"/>
      <c r="F15" s="1352"/>
      <c r="G15" s="1352"/>
      <c r="J15" s="61"/>
      <c r="K15" s="87"/>
    </row>
    <row r="16" spans="1:11" s="9" customFormat="1" ht="44.1" customHeight="1" thickBot="1">
      <c r="A16" s="545">
        <v>10</v>
      </c>
      <c r="B16" s="119"/>
      <c r="C16" s="119"/>
      <c r="D16" s="1352"/>
      <c r="E16" s="1352"/>
      <c r="F16" s="1352"/>
      <c r="G16" s="1352"/>
      <c r="J16" s="61"/>
      <c r="K16" s="160"/>
    </row>
    <row r="17" spans="8:11" s="9" customFormat="1" ht="12">
      <c r="H17" s="623" t="s">
        <v>269</v>
      </c>
      <c r="I17" s="623"/>
      <c r="J17" s="191"/>
      <c r="K17" s="120"/>
    </row>
    <row r="18" spans="8:11" s="9" customFormat="1" ht="12">
      <c r="J18" s="61"/>
      <c r="K18" s="120"/>
    </row>
    <row r="19" spans="8:11" s="9" customFormat="1" ht="12">
      <c r="J19" s="61"/>
      <c r="K19" s="120"/>
    </row>
    <row r="20" spans="8:11" s="9" customFormat="1" ht="12">
      <c r="J20" s="61"/>
      <c r="K20" s="120"/>
    </row>
    <row r="21" spans="8:11" s="9" customFormat="1" ht="12">
      <c r="J21" s="61"/>
      <c r="K21" s="120"/>
    </row>
    <row r="22" spans="8:11" s="9" customFormat="1" ht="12">
      <c r="J22" s="61"/>
      <c r="K22" s="120"/>
    </row>
    <row r="23" spans="8:11" s="9" customFormat="1" ht="12">
      <c r="J23" s="61"/>
      <c r="K23" s="120"/>
    </row>
    <row r="24" spans="8:11" s="9" customFormat="1" ht="12">
      <c r="J24" s="61"/>
      <c r="K24" s="120"/>
    </row>
    <row r="25" spans="8:11" s="9" customFormat="1" ht="12">
      <c r="J25" s="61"/>
      <c r="K25" s="120"/>
    </row>
    <row r="26" spans="8:11" s="9" customFormat="1" ht="12">
      <c r="J26" s="61"/>
      <c r="K26" s="120"/>
    </row>
    <row r="27" spans="8:11" s="9" customFormat="1" ht="12">
      <c r="J27" s="61"/>
      <c r="K27" s="120"/>
    </row>
    <row r="28" spans="8:11" s="9" customFormat="1" ht="12">
      <c r="J28" s="61"/>
      <c r="K28" s="120"/>
    </row>
    <row r="29" spans="8:11" s="9" customFormat="1" ht="12">
      <c r="J29" s="61"/>
      <c r="K29" s="120"/>
    </row>
    <row r="30" spans="8:11" s="9" customFormat="1" ht="12">
      <c r="J30" s="61"/>
      <c r="K30" s="120"/>
    </row>
    <row r="31" spans="8:11" s="9" customFormat="1" ht="12">
      <c r="J31" s="61"/>
      <c r="K31" s="120"/>
    </row>
    <row r="32" spans="8:11" s="9" customFormat="1" ht="12">
      <c r="J32" s="61"/>
      <c r="K32" s="120"/>
    </row>
  </sheetData>
  <sheetProtection selectLockedCells="1"/>
  <mergeCells count="15">
    <mergeCell ref="D15:G15"/>
    <mergeCell ref="D16:G16"/>
    <mergeCell ref="D9:G9"/>
    <mergeCell ref="D10:G10"/>
    <mergeCell ref="D11:G11"/>
    <mergeCell ref="D12:G12"/>
    <mergeCell ref="D13:G13"/>
    <mergeCell ref="D14:G14"/>
    <mergeCell ref="H2:H4"/>
    <mergeCell ref="D8:G8"/>
    <mergeCell ref="A1:G1"/>
    <mergeCell ref="C2:F2"/>
    <mergeCell ref="F4:G4"/>
    <mergeCell ref="D6:G6"/>
    <mergeCell ref="D7:G7"/>
  </mergeCells>
  <phoneticPr fontId="10"/>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625" customWidth="1"/>
    <col min="2" max="2" width="28.125" customWidth="1"/>
    <col min="3" max="3" width="30.625" customWidth="1"/>
    <col min="4" max="6" width="20.625" customWidth="1"/>
    <col min="7" max="8" width="25.625" customWidth="1"/>
    <col min="9" max="9" width="2.625" customWidth="1"/>
    <col min="10" max="10" width="6" hidden="1" customWidth="1"/>
    <col min="11" max="11" width="2.25" style="59" hidden="1" customWidth="1"/>
    <col min="12" max="12" width="80.625" style="340" customWidth="1"/>
  </cols>
  <sheetData>
    <row r="1" spans="1:12" s="955" customFormat="1" ht="20.100000000000001" customHeight="1" thickBot="1">
      <c r="A1" s="1226" t="s">
        <v>1854</v>
      </c>
      <c r="B1" s="1226"/>
      <c r="C1" s="1226"/>
      <c r="D1" s="1226"/>
      <c r="E1" s="1226"/>
      <c r="F1" s="1226"/>
      <c r="G1" s="1226"/>
      <c r="H1" s="1226"/>
      <c r="K1" s="99"/>
      <c r="L1" s="954"/>
    </row>
    <row r="2" spans="1:12" s="955" customFormat="1" ht="24.95" customHeight="1" thickTop="1" thickBot="1">
      <c r="A2" s="893"/>
      <c r="B2" s="893"/>
      <c r="C2" s="1228" t="s">
        <v>1803</v>
      </c>
      <c r="D2" s="1228"/>
      <c r="E2" s="1228"/>
      <c r="F2" s="1228"/>
      <c r="G2" s="1248"/>
      <c r="H2" s="533"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234"/>
      <c r="J2" s="594"/>
      <c r="K2" s="884"/>
      <c r="L2" s="188" t="s">
        <v>268</v>
      </c>
    </row>
    <row r="3" spans="1:12" ht="5.0999999999999996" customHeight="1" thickTop="1">
      <c r="A3" s="532"/>
      <c r="B3" s="532"/>
      <c r="C3" s="532"/>
      <c r="D3" s="532"/>
      <c r="E3" s="532"/>
      <c r="F3" s="532"/>
      <c r="G3" s="532"/>
      <c r="H3" s="532"/>
      <c r="I3" s="1234"/>
      <c r="J3" s="594"/>
      <c r="L3" s="189"/>
    </row>
    <row r="4" spans="1:12" ht="20.100000000000001" customHeight="1">
      <c r="B4" s="532"/>
      <c r="C4" s="532"/>
      <c r="D4" s="532"/>
      <c r="E4" s="532"/>
      <c r="F4" s="557" t="s">
        <v>1236</v>
      </c>
      <c r="G4" s="1249" t="str">
        <f>表紙!E2</f>
        <v>市立豊中病院</v>
      </c>
      <c r="H4" s="1251"/>
      <c r="I4" s="1234"/>
      <c r="J4" s="594"/>
      <c r="L4" s="87"/>
    </row>
    <row r="5" spans="1:12" ht="20.100000000000001" customHeight="1">
      <c r="A5" s="985"/>
      <c r="B5" s="985" t="s">
        <v>1855</v>
      </c>
      <c r="C5" s="532"/>
      <c r="D5" s="532"/>
      <c r="E5" s="532"/>
      <c r="F5" s="557" t="s">
        <v>1853</v>
      </c>
      <c r="G5" s="59" t="s">
        <v>1856</v>
      </c>
      <c r="H5" s="640"/>
      <c r="L5" s="163"/>
    </row>
    <row r="6" spans="1:12" ht="20.100000000000001" customHeight="1">
      <c r="A6" s="861"/>
      <c r="B6" s="532"/>
      <c r="C6" s="532"/>
      <c r="D6" s="532"/>
      <c r="E6" s="532"/>
      <c r="F6" s="557"/>
      <c r="G6" s="338"/>
      <c r="H6" s="640"/>
      <c r="L6" s="87"/>
    </row>
    <row r="7" spans="1:12" s="9" customFormat="1" ht="20.100000000000001" customHeight="1" thickBot="1">
      <c r="A7" s="532" t="s">
        <v>1857</v>
      </c>
      <c r="B7" s="532"/>
      <c r="C7" s="532"/>
      <c r="D7" s="532"/>
      <c r="E7" s="532"/>
      <c r="F7" s="532"/>
      <c r="G7" s="532"/>
      <c r="I7"/>
      <c r="J7"/>
      <c r="K7" s="61"/>
      <c r="L7" s="87"/>
    </row>
    <row r="8" spans="1:12" s="9" customFormat="1" ht="14.25" thickBot="1">
      <c r="A8" s="532" t="s">
        <v>1858</v>
      </c>
      <c r="B8" s="532"/>
      <c r="C8" s="532"/>
      <c r="D8" s="532"/>
      <c r="E8" s="532"/>
      <c r="F8" s="532"/>
      <c r="G8" s="532"/>
      <c r="H8" s="75"/>
      <c r="I8"/>
      <c r="J8" s="9" t="str">
        <f>IF(H8="","×","○")</f>
        <v>×</v>
      </c>
      <c r="K8" s="61"/>
      <c r="L8" s="163"/>
    </row>
    <row r="9" spans="1:12" s="9" customFormat="1" ht="14.25" thickBot="1">
      <c r="A9" s="532" t="s">
        <v>1859</v>
      </c>
      <c r="B9" s="532"/>
      <c r="C9" s="532"/>
      <c r="D9" s="532"/>
      <c r="E9" s="532"/>
      <c r="F9" s="532"/>
      <c r="G9" s="532"/>
      <c r="H9" s="532"/>
      <c r="I9"/>
      <c r="K9" s="61"/>
      <c r="L9" s="87"/>
    </row>
    <row r="10" spans="1:12" s="9" customFormat="1" ht="26.25" customHeight="1" thickBot="1">
      <c r="A10" s="532"/>
      <c r="B10" s="1830" t="s">
        <v>1860</v>
      </c>
      <c r="C10" s="1830"/>
      <c r="D10" s="1830"/>
      <c r="E10" s="1830"/>
      <c r="F10" s="1830"/>
      <c r="G10" s="1831"/>
      <c r="H10" s="75"/>
      <c r="I10"/>
      <c r="J10" s="9" t="str">
        <f t="shared" ref="J10:J23" si="0">IF(H10="","×","○")</f>
        <v>×</v>
      </c>
      <c r="K10" s="61"/>
      <c r="L10" s="87"/>
    </row>
    <row r="11" spans="1:12" s="9" customFormat="1" ht="14.25" customHeight="1" thickBot="1">
      <c r="A11" s="532"/>
      <c r="B11" s="962"/>
      <c r="C11" s="962"/>
      <c r="D11" s="962"/>
      <c r="E11" s="962"/>
      <c r="F11" s="962"/>
      <c r="G11" s="536" t="s">
        <v>1861</v>
      </c>
      <c r="H11" s="75"/>
      <c r="I11"/>
      <c r="J11" s="9" t="str">
        <f t="shared" si="0"/>
        <v>×</v>
      </c>
      <c r="K11" s="61"/>
      <c r="L11" s="87"/>
    </row>
    <row r="12" spans="1:12" s="9" customFormat="1" ht="14.25" thickBot="1">
      <c r="A12" s="532"/>
      <c r="B12" t="s">
        <v>1862</v>
      </c>
      <c r="C12" s="532"/>
      <c r="D12" s="532"/>
      <c r="E12" s="532"/>
      <c r="F12" s="532"/>
      <c r="G12" s="532"/>
      <c r="H12" s="75"/>
      <c r="I12"/>
      <c r="J12" s="9" t="str">
        <f t="shared" si="0"/>
        <v>×</v>
      </c>
      <c r="K12" s="61"/>
      <c r="L12" s="87"/>
    </row>
    <row r="13" spans="1:12" s="9" customFormat="1" ht="14.25" thickBot="1">
      <c r="A13" s="532"/>
      <c r="B13" t="s">
        <v>1863</v>
      </c>
      <c r="C13" s="532"/>
      <c r="D13" s="532"/>
      <c r="E13" s="532"/>
      <c r="F13" s="532"/>
      <c r="G13" s="532"/>
      <c r="H13" s="75"/>
      <c r="I13"/>
      <c r="J13" s="9" t="str">
        <f t="shared" si="0"/>
        <v>×</v>
      </c>
      <c r="K13" s="61"/>
      <c r="L13" s="87"/>
    </row>
    <row r="14" spans="1:12" s="9" customFormat="1" ht="14.25" thickBot="1">
      <c r="A14"/>
      <c r="B14" t="s">
        <v>1864</v>
      </c>
      <c r="C14"/>
      <c r="D14"/>
      <c r="E14"/>
      <c r="F14"/>
      <c r="G14"/>
      <c r="H14" s="75"/>
      <c r="I14"/>
      <c r="J14" s="9" t="str">
        <f t="shared" si="0"/>
        <v>×</v>
      </c>
      <c r="K14" s="61"/>
      <c r="L14" s="87"/>
    </row>
    <row r="15" spans="1:12" s="9" customFormat="1" ht="14.25" thickBot="1">
      <c r="A15"/>
      <c r="B15" t="s">
        <v>1865</v>
      </c>
      <c r="C15"/>
      <c r="D15"/>
      <c r="E15"/>
      <c r="F15"/>
      <c r="G15"/>
      <c r="H15" s="75"/>
      <c r="I15"/>
      <c r="J15" s="9" t="str">
        <f t="shared" si="0"/>
        <v>×</v>
      </c>
      <c r="K15" s="61"/>
      <c r="L15" s="87"/>
    </row>
    <row r="16" spans="1:12" s="9" customFormat="1" ht="14.25" thickBot="1">
      <c r="A16"/>
      <c r="B16" t="s">
        <v>1866</v>
      </c>
      <c r="C16"/>
      <c r="D16"/>
      <c r="E16"/>
      <c r="F16"/>
      <c r="G16"/>
      <c r="H16" s="75"/>
      <c r="I16"/>
      <c r="J16" s="9" t="str">
        <f t="shared" si="0"/>
        <v>×</v>
      </c>
      <c r="K16" s="61"/>
      <c r="L16" s="87"/>
    </row>
    <row r="17" spans="1:12" s="9" customFormat="1" ht="14.25" thickBot="1">
      <c r="A17"/>
      <c r="B17" t="s">
        <v>1867</v>
      </c>
      <c r="C17"/>
      <c r="D17"/>
      <c r="E17"/>
      <c r="F17"/>
      <c r="G17"/>
      <c r="H17" s="75"/>
      <c r="I17"/>
      <c r="J17" s="9" t="str">
        <f t="shared" si="0"/>
        <v>×</v>
      </c>
      <c r="K17" s="61"/>
      <c r="L17" s="87"/>
    </row>
    <row r="18" spans="1:12" s="9" customFormat="1" ht="30" customHeight="1" thickBot="1">
      <c r="A18"/>
      <c r="B18" s="1832" t="s">
        <v>1868</v>
      </c>
      <c r="C18" s="1832"/>
      <c r="D18" s="1832"/>
      <c r="E18" s="1832"/>
      <c r="F18" s="1832"/>
      <c r="G18" s="1535"/>
      <c r="H18" s="75"/>
      <c r="I18"/>
      <c r="J18" s="9" t="str">
        <f t="shared" si="0"/>
        <v>×</v>
      </c>
      <c r="K18" s="61"/>
      <c r="L18" s="87"/>
    </row>
    <row r="19" spans="1:12" s="9" customFormat="1" ht="27" customHeight="1" thickBot="1">
      <c r="A19"/>
      <c r="B19" s="1832" t="s">
        <v>1869</v>
      </c>
      <c r="C19" s="1832"/>
      <c r="D19" s="1832"/>
      <c r="E19" s="1832"/>
      <c r="F19" s="1832"/>
      <c r="G19" s="1535"/>
      <c r="H19" s="75"/>
      <c r="I19"/>
      <c r="J19" s="9" t="str">
        <f t="shared" si="0"/>
        <v>×</v>
      </c>
      <c r="K19" s="61"/>
      <c r="L19" s="87"/>
    </row>
    <row r="20" spans="1:12" s="9" customFormat="1" ht="14.25" thickBot="1">
      <c r="A20"/>
      <c r="B20" t="s">
        <v>1870</v>
      </c>
      <c r="C20"/>
      <c r="D20"/>
      <c r="E20"/>
      <c r="F20"/>
      <c r="G20"/>
      <c r="H20" s="75"/>
      <c r="I20"/>
      <c r="J20" s="9" t="str">
        <f t="shared" si="0"/>
        <v>×</v>
      </c>
      <c r="K20" s="61"/>
      <c r="L20" s="87"/>
    </row>
    <row r="21" spans="1:12" s="9" customFormat="1" ht="14.25" thickBot="1">
      <c r="A21"/>
      <c r="B21" t="s">
        <v>1871</v>
      </c>
      <c r="C21"/>
      <c r="D21"/>
      <c r="E21"/>
      <c r="F21"/>
      <c r="G21"/>
      <c r="H21" s="75"/>
      <c r="I21"/>
      <c r="J21" s="9" t="str">
        <f t="shared" si="0"/>
        <v>×</v>
      </c>
      <c r="K21" s="61"/>
      <c r="L21" s="87"/>
    </row>
    <row r="22" spans="1:12" s="9" customFormat="1" ht="14.25" thickBot="1">
      <c r="A22"/>
      <c r="B22" t="s">
        <v>1872</v>
      </c>
      <c r="C22"/>
      <c r="D22"/>
      <c r="E22"/>
      <c r="F22"/>
      <c r="G22"/>
      <c r="H22" s="75"/>
      <c r="I22"/>
      <c r="J22" s="9" t="str">
        <f t="shared" si="0"/>
        <v>×</v>
      </c>
      <c r="K22" s="61"/>
      <c r="L22" s="87"/>
    </row>
    <row r="23" spans="1:12" s="9" customFormat="1" ht="14.25" thickBot="1">
      <c r="A23"/>
      <c r="B23" t="s">
        <v>1873</v>
      </c>
      <c r="C23"/>
      <c r="D23"/>
      <c r="E23"/>
      <c r="F23"/>
      <c r="G23"/>
      <c r="H23" s="75"/>
      <c r="I23"/>
      <c r="J23" s="9" t="str">
        <f t="shared" si="0"/>
        <v>×</v>
      </c>
      <c r="K23" s="61"/>
      <c r="L23" s="87"/>
    </row>
    <row r="24" spans="1:12">
      <c r="L24" s="87"/>
    </row>
    <row r="25" spans="1:12">
      <c r="A25" t="s">
        <v>1874</v>
      </c>
      <c r="L25" s="87"/>
    </row>
    <row r="26" spans="1:12" ht="14.25" thickBot="1">
      <c r="A26" t="s">
        <v>1875</v>
      </c>
      <c r="L26" s="87"/>
    </row>
    <row r="27" spans="1:12" ht="14.25" thickBot="1">
      <c r="A27" t="s">
        <v>1876</v>
      </c>
      <c r="H27" s="75"/>
      <c r="J27" s="9" t="str">
        <f t="shared" ref="J27:J31" si="1">IF(H27="","×","○")</f>
        <v>×</v>
      </c>
      <c r="L27" s="87"/>
    </row>
    <row r="28" spans="1:12" ht="14.25" thickBot="1">
      <c r="A28" t="s">
        <v>1877</v>
      </c>
      <c r="H28" s="75"/>
      <c r="J28" s="9" t="str">
        <f t="shared" si="1"/>
        <v>×</v>
      </c>
      <c r="L28" s="87"/>
    </row>
    <row r="29" spans="1:12" ht="14.25" thickBot="1">
      <c r="A29" t="s">
        <v>1878</v>
      </c>
      <c r="H29" s="75"/>
      <c r="J29" s="9" t="str">
        <f t="shared" si="1"/>
        <v>×</v>
      </c>
      <c r="L29" s="87"/>
    </row>
    <row r="30" spans="1:12" s="59" customFormat="1" ht="14.25" thickBot="1">
      <c r="A30" s="59" t="s">
        <v>1879</v>
      </c>
      <c r="H30" s="75"/>
      <c r="J30" s="61" t="str">
        <f t="shared" si="1"/>
        <v>×</v>
      </c>
      <c r="L30" s="87"/>
    </row>
    <row r="31" spans="1:12" ht="14.25" thickBot="1">
      <c r="A31" t="s">
        <v>1880</v>
      </c>
      <c r="H31" s="75"/>
      <c r="J31" s="9" t="str">
        <f t="shared" si="1"/>
        <v>×</v>
      </c>
      <c r="L31" s="87"/>
    </row>
    <row r="32" spans="1:12">
      <c r="L32" s="87"/>
    </row>
    <row r="33" spans="1:12" ht="14.25" thickBot="1">
      <c r="A33" t="s">
        <v>1881</v>
      </c>
      <c r="L33" s="87"/>
    </row>
    <row r="34" spans="1:12" ht="14.25" thickBot="1">
      <c r="A34" t="s">
        <v>1882</v>
      </c>
      <c r="H34" s="75"/>
      <c r="J34" s="9" t="str">
        <f t="shared" ref="J34:J35" si="2">IF(H34="","×","○")</f>
        <v>×</v>
      </c>
      <c r="L34" s="87"/>
    </row>
    <row r="35" spans="1:12" ht="14.25" thickBot="1">
      <c r="A35" t="s">
        <v>1883</v>
      </c>
      <c r="H35" s="75"/>
      <c r="J35" s="9" t="str">
        <f t="shared" si="2"/>
        <v>×</v>
      </c>
      <c r="L35" s="87"/>
    </row>
    <row r="36" spans="1:12" ht="39" customHeight="1" thickBot="1">
      <c r="A36" t="s">
        <v>1884</v>
      </c>
      <c r="F36" s="1735"/>
      <c r="G36" s="1829"/>
      <c r="H36" s="1736"/>
      <c r="J36" t="str">
        <f>IF(AND(H34="はい",F36=""),"×","○")</f>
        <v>○</v>
      </c>
      <c r="L36" s="87"/>
    </row>
    <row r="37" spans="1:12">
      <c r="L37" s="87"/>
    </row>
    <row r="38" spans="1:12">
      <c r="A38" t="s">
        <v>1885</v>
      </c>
      <c r="L38" s="87"/>
    </row>
    <row r="39" spans="1:12">
      <c r="A39" s="963" t="s">
        <v>1886</v>
      </c>
      <c r="L39" s="87"/>
    </row>
    <row r="40" spans="1:12">
      <c r="L40" s="87"/>
    </row>
    <row r="41" spans="1:12">
      <c r="L41" s="87"/>
    </row>
    <row r="42" spans="1:12">
      <c r="A42" t="s">
        <v>1887</v>
      </c>
      <c r="L42" s="87"/>
    </row>
    <row r="43" spans="1:12" ht="14.25" thickBot="1">
      <c r="A43" t="s">
        <v>1888</v>
      </c>
      <c r="L43" s="87"/>
    </row>
    <row r="44" spans="1:12" ht="14.25" thickBot="1">
      <c r="B44" t="s">
        <v>1889</v>
      </c>
      <c r="H44" s="75"/>
      <c r="J44" s="9" t="str">
        <f>IF(H44="","×","○")</f>
        <v>×</v>
      </c>
      <c r="L44" s="87"/>
    </row>
    <row r="45" spans="1:12" ht="14.25" thickBot="1">
      <c r="B45" t="s">
        <v>1890</v>
      </c>
      <c r="H45" s="75"/>
      <c r="J45" s="9" t="str">
        <f t="shared" ref="J45:J52" si="3">IF(H45="","×","○")</f>
        <v>×</v>
      </c>
      <c r="L45" s="87"/>
    </row>
    <row r="46" spans="1:12" ht="14.25" thickBot="1">
      <c r="B46" t="s">
        <v>1891</v>
      </c>
      <c r="H46" s="75"/>
      <c r="J46" s="9" t="str">
        <f t="shared" si="3"/>
        <v>×</v>
      </c>
      <c r="L46" s="87"/>
    </row>
    <row r="47" spans="1:12" ht="14.25" thickBot="1">
      <c r="B47" t="s">
        <v>1892</v>
      </c>
      <c r="H47" s="75"/>
      <c r="J47" s="9" t="str">
        <f t="shared" si="3"/>
        <v>×</v>
      </c>
      <c r="L47" s="87"/>
    </row>
    <row r="48" spans="1:12" ht="14.25" thickBot="1">
      <c r="B48" t="s">
        <v>1893</v>
      </c>
      <c r="H48" s="75"/>
      <c r="J48" s="9" t="str">
        <f t="shared" si="3"/>
        <v>×</v>
      </c>
      <c r="L48" s="87"/>
    </row>
    <row r="49" spans="2:12" ht="14.25" thickBot="1">
      <c r="B49" t="s">
        <v>1894</v>
      </c>
      <c r="H49" s="75"/>
      <c r="J49" s="9" t="str">
        <f t="shared" si="3"/>
        <v>×</v>
      </c>
      <c r="L49" s="87"/>
    </row>
    <row r="50" spans="2:12" ht="14.25" thickBot="1">
      <c r="B50" t="s">
        <v>1895</v>
      </c>
      <c r="H50" s="75"/>
      <c r="J50" s="9" t="str">
        <f t="shared" si="3"/>
        <v>×</v>
      </c>
      <c r="L50" s="87"/>
    </row>
    <row r="51" spans="2:12" ht="14.25" thickBot="1">
      <c r="B51" t="s">
        <v>1896</v>
      </c>
      <c r="H51" s="75"/>
      <c r="J51" s="9" t="str">
        <f t="shared" si="3"/>
        <v>×</v>
      </c>
      <c r="L51" s="87"/>
    </row>
    <row r="52" spans="2:12" ht="14.25" thickBot="1">
      <c r="B52" t="s">
        <v>1897</v>
      </c>
      <c r="H52" s="75"/>
      <c r="J52" s="9" t="str">
        <f t="shared" si="3"/>
        <v>×</v>
      </c>
      <c r="L52" s="160"/>
    </row>
  </sheetData>
  <sheetProtection selectLockedCells="1"/>
  <mergeCells count="8">
    <mergeCell ref="A1:H1"/>
    <mergeCell ref="C2:G2"/>
    <mergeCell ref="I2:I4"/>
    <mergeCell ref="G4:H4"/>
    <mergeCell ref="F36:H36"/>
    <mergeCell ref="B10:G10"/>
    <mergeCell ref="B18:G18"/>
    <mergeCell ref="B19:G19"/>
  </mergeCells>
  <phoneticPr fontId="10"/>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zoomScaleNormal="100" zoomScaleSheetLayoutView="100" workbookViewId="0">
      <selection activeCell="B45" sqref="B45:I47"/>
    </sheetView>
  </sheetViews>
  <sheetFormatPr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375" hidden="1" customWidth="1"/>
    <col min="13" max="13" width="82.75" style="1" bestFit="1" customWidth="1"/>
    <col min="14" max="15" width="0" hidden="1" customWidth="1"/>
  </cols>
  <sheetData>
    <row r="1" spans="1:21" ht="30" customHeight="1" thickBot="1">
      <c r="A1" s="1836" t="s">
        <v>1898</v>
      </c>
      <c r="B1" s="1836"/>
      <c r="C1" s="1836"/>
      <c r="D1" s="1836"/>
      <c r="E1" s="1836"/>
      <c r="F1" s="1836"/>
      <c r="G1" s="1836"/>
      <c r="H1" s="1836"/>
      <c r="I1" s="1836"/>
      <c r="J1" s="1836"/>
    </row>
    <row r="2" spans="1:21" ht="24.95" customHeight="1" thickBot="1">
      <c r="B2" s="1228" t="s">
        <v>1899</v>
      </c>
      <c r="C2" s="1228"/>
      <c r="D2" s="1228"/>
      <c r="E2" s="1228"/>
      <c r="F2" s="1228"/>
      <c r="G2" s="1228"/>
      <c r="H2" s="1228"/>
      <c r="I2" s="964" t="str">
        <f>IF(COUNTIF(K32:K36,"×")=0,"入力済","未入力あり")</f>
        <v>入力済</v>
      </c>
      <c r="M2" s="188" t="s">
        <v>268</v>
      </c>
    </row>
    <row r="3" spans="1:21" ht="24.95" customHeight="1">
      <c r="B3" s="1837"/>
      <c r="C3" s="1837"/>
      <c r="D3" s="1837"/>
      <c r="E3" s="1837"/>
      <c r="F3" s="1837"/>
      <c r="G3" s="1837"/>
      <c r="H3" s="1837"/>
      <c r="I3" s="532"/>
      <c r="M3" s="87"/>
    </row>
    <row r="4" spans="1:21" ht="24.95" customHeight="1">
      <c r="G4" s="937" t="s">
        <v>1222</v>
      </c>
      <c r="H4" s="1229" t="str">
        <f>表紙!E2</f>
        <v>市立豊中病院</v>
      </c>
      <c r="I4" s="1230"/>
      <c r="M4" s="87"/>
    </row>
    <row r="5" spans="1:21" ht="20.100000000000001" customHeight="1">
      <c r="G5" s="658" t="s">
        <v>1844</v>
      </c>
      <c r="H5" t="str">
        <f>+'事務局使用（発出時は非表示にすること）'!$B$3</f>
        <v>令和６年９月１日時点</v>
      </c>
      <c r="M5" s="163"/>
    </row>
    <row r="6" spans="1:21" ht="11.25" customHeight="1">
      <c r="G6" s="658"/>
      <c r="M6" s="87"/>
    </row>
    <row r="7" spans="1:21" ht="9.9499999999999993" customHeight="1">
      <c r="G7" s="658"/>
      <c r="M7" s="87"/>
    </row>
    <row r="8" spans="1:21" ht="20.100000000000001" customHeight="1">
      <c r="A8" s="1838" t="s">
        <v>1900</v>
      </c>
      <c r="B8" s="1838"/>
      <c r="C8" s="1838"/>
      <c r="D8" s="1838"/>
      <c r="E8" s="1838"/>
      <c r="F8" s="1838"/>
      <c r="G8" s="1838"/>
      <c r="H8" s="1838"/>
      <c r="I8" s="1838"/>
      <c r="J8" s="1838"/>
      <c r="M8" s="163"/>
    </row>
    <row r="9" spans="1:21" ht="20.100000000000001" customHeight="1">
      <c r="A9" s="1838" t="s">
        <v>1901</v>
      </c>
      <c r="B9" s="1838"/>
      <c r="C9" s="1838"/>
      <c r="D9" s="1838"/>
      <c r="E9" s="1838"/>
      <c r="F9" s="1838"/>
      <c r="G9" s="1838"/>
      <c r="H9" s="1838"/>
      <c r="I9" s="1838"/>
      <c r="J9" s="1838"/>
      <c r="M9" s="87"/>
    </row>
    <row r="10" spans="1:21" ht="20.100000000000001" customHeight="1">
      <c r="A10" s="1"/>
      <c r="B10" s="1"/>
      <c r="C10" s="1"/>
      <c r="D10" s="1"/>
      <c r="E10" s="1"/>
      <c r="F10" s="1"/>
      <c r="G10" s="1"/>
      <c r="H10" s="1"/>
      <c r="I10" s="1"/>
      <c r="J10" s="1"/>
      <c r="M10" s="87"/>
    </row>
    <row r="11" spans="1:21" s="639" customFormat="1" ht="25.5" customHeight="1">
      <c r="A11" s="1839" t="s">
        <v>1902</v>
      </c>
      <c r="B11" s="1839"/>
      <c r="C11" s="1839"/>
      <c r="D11" s="1839"/>
      <c r="E11" s="1839"/>
      <c r="F11" s="1839"/>
      <c r="G11" s="1839"/>
      <c r="H11" s="1839"/>
      <c r="I11" s="1839"/>
      <c r="J11" s="1839"/>
      <c r="K11" s="965"/>
      <c r="L11" s="965"/>
      <c r="M11" s="87"/>
      <c r="N11" s="965"/>
      <c r="O11" s="965"/>
      <c r="P11" s="965"/>
      <c r="Q11" s="965"/>
      <c r="R11" s="965"/>
      <c r="S11" s="965"/>
      <c r="T11" s="965"/>
      <c r="U11" s="965"/>
    </row>
    <row r="12" spans="1:21" s="639" customFormat="1" ht="18" customHeight="1">
      <c r="A12" s="966"/>
      <c r="B12" s="966" t="s">
        <v>1903</v>
      </c>
      <c r="C12" s="966"/>
      <c r="D12" s="966"/>
      <c r="E12" s="966"/>
      <c r="F12" s="966"/>
      <c r="G12" s="966"/>
      <c r="H12" s="966"/>
      <c r="I12" s="966"/>
      <c r="J12" s="966"/>
      <c r="K12" s="965"/>
      <c r="L12" s="965"/>
      <c r="M12" s="87"/>
      <c r="N12" s="965"/>
      <c r="O12" s="965"/>
      <c r="P12" s="965"/>
      <c r="Q12" s="965"/>
      <c r="R12" s="965"/>
      <c r="S12" s="965"/>
      <c r="T12" s="965"/>
      <c r="U12" s="965"/>
    </row>
    <row r="13" spans="1:21" s="639" customFormat="1" ht="18" customHeight="1">
      <c r="B13" s="1838" t="s">
        <v>1904</v>
      </c>
      <c r="C13" s="1838"/>
      <c r="D13" s="1838"/>
      <c r="E13" s="1838"/>
      <c r="F13" s="1838"/>
      <c r="G13" s="1838"/>
      <c r="H13" s="1838"/>
      <c r="I13" s="1838"/>
      <c r="J13" s="1838"/>
      <c r="K13" s="965"/>
      <c r="L13" s="965"/>
      <c r="M13" s="87"/>
      <c r="N13" s="965"/>
      <c r="O13" s="965"/>
      <c r="P13" s="965"/>
      <c r="Q13" s="965"/>
      <c r="R13" s="965"/>
      <c r="S13" s="965"/>
      <c r="T13" s="965"/>
      <c r="U13" s="965"/>
    </row>
    <row r="14" spans="1:21" s="639" customFormat="1" ht="5.25" customHeight="1">
      <c r="B14" s="1"/>
      <c r="C14" s="1"/>
      <c r="D14" s="1"/>
      <c r="E14" s="1"/>
      <c r="F14" s="1"/>
      <c r="G14" s="1"/>
      <c r="H14" s="1"/>
      <c r="I14" s="1"/>
      <c r="J14" s="1"/>
      <c r="K14" s="965"/>
      <c r="L14" s="965"/>
      <c r="M14" s="87"/>
      <c r="N14" s="965"/>
      <c r="O14" s="965"/>
      <c r="P14" s="965"/>
      <c r="Q14" s="965"/>
      <c r="R14" s="965"/>
      <c r="S14" s="965"/>
      <c r="T14" s="965"/>
      <c r="U14" s="965"/>
    </row>
    <row r="15" spans="1:21" s="639" customFormat="1" ht="27.95" customHeight="1">
      <c r="B15" s="919"/>
      <c r="C15" s="1021" t="s">
        <v>1830</v>
      </c>
      <c r="D15" s="1022" t="s">
        <v>1777</v>
      </c>
      <c r="E15" s="1840" t="s">
        <v>1905</v>
      </c>
      <c r="F15" s="1841"/>
      <c r="G15" s="1841"/>
      <c r="H15" s="1841"/>
      <c r="I15" s="1842"/>
      <c r="K15" s="967"/>
      <c r="L15" s="965"/>
      <c r="M15" s="87"/>
      <c r="N15" s="965"/>
      <c r="O15" s="965"/>
      <c r="P15" s="965"/>
      <c r="Q15" s="965"/>
      <c r="R15" s="965"/>
      <c r="S15" s="965"/>
      <c r="T15" s="965"/>
      <c r="U15" s="965"/>
    </row>
    <row r="16" spans="1:21" s="639" customFormat="1" ht="27.95" customHeight="1">
      <c r="B16" s="1023" t="s">
        <v>1228</v>
      </c>
      <c r="C16" s="478" t="s">
        <v>1906</v>
      </c>
      <c r="D16" s="1131">
        <v>2</v>
      </c>
      <c r="E16" s="1843" t="s">
        <v>1907</v>
      </c>
      <c r="F16" s="1844"/>
      <c r="G16" s="1844"/>
      <c r="H16" s="1844"/>
      <c r="I16" s="1845"/>
      <c r="K16" s="965"/>
      <c r="L16" s="965"/>
      <c r="M16" s="87"/>
      <c r="N16" s="965"/>
      <c r="O16" s="965"/>
      <c r="P16" s="965"/>
      <c r="Q16" s="965"/>
      <c r="R16" s="965"/>
      <c r="S16" s="965"/>
      <c r="T16" s="965"/>
      <c r="U16" s="965"/>
    </row>
    <row r="17" spans="1:21" s="639" customFormat="1" ht="27.95" customHeight="1">
      <c r="B17" s="1023">
        <v>1</v>
      </c>
      <c r="C17" s="1024"/>
      <c r="D17" s="936"/>
      <c r="E17" s="1846"/>
      <c r="F17" s="1847"/>
      <c r="G17" s="1847"/>
      <c r="H17" s="1847"/>
      <c r="I17" s="1848"/>
      <c r="K17" s="965"/>
      <c r="L17" s="965"/>
      <c r="M17" s="87"/>
      <c r="N17" s="375">
        <v>0</v>
      </c>
      <c r="O17" s="376">
        <v>20</v>
      </c>
      <c r="P17" s="965"/>
      <c r="Q17" s="965"/>
      <c r="R17" s="965"/>
      <c r="S17" s="965"/>
      <c r="T17" s="965"/>
      <c r="U17" s="965"/>
    </row>
    <row r="18" spans="1:21" s="639" customFormat="1" ht="27.95" customHeight="1">
      <c r="B18" s="1023">
        <v>2</v>
      </c>
      <c r="C18" s="1025"/>
      <c r="D18" s="936"/>
      <c r="E18" s="1833"/>
      <c r="F18" s="1834"/>
      <c r="G18" s="1834"/>
      <c r="H18" s="1834"/>
      <c r="I18" s="1835"/>
      <c r="K18" s="965"/>
      <c r="L18" s="965"/>
      <c r="M18" s="87"/>
      <c r="N18" s="375">
        <v>0</v>
      </c>
      <c r="O18" s="376">
        <v>20</v>
      </c>
      <c r="P18" s="965"/>
      <c r="Q18" s="965"/>
      <c r="R18" s="965"/>
      <c r="S18" s="965"/>
      <c r="T18" s="965"/>
      <c r="U18" s="965"/>
    </row>
    <row r="19" spans="1:21" s="639" customFormat="1" ht="27.95" customHeight="1">
      <c r="B19" s="1026">
        <v>3</v>
      </c>
      <c r="C19" s="1025"/>
      <c r="D19" s="936"/>
      <c r="E19" s="1851"/>
      <c r="F19" s="1847"/>
      <c r="G19" s="1847"/>
      <c r="H19" s="1847"/>
      <c r="I19" s="1848"/>
      <c r="K19" s="967"/>
      <c r="L19" s="965"/>
      <c r="M19" s="87"/>
      <c r="N19" s="375">
        <v>0</v>
      </c>
      <c r="O19" s="376">
        <v>20</v>
      </c>
      <c r="P19" s="965"/>
      <c r="Q19" s="965"/>
      <c r="R19" s="965"/>
      <c r="S19" s="965"/>
      <c r="T19" s="965"/>
      <c r="U19" s="965"/>
    </row>
    <row r="20" spans="1:21" s="639" customFormat="1" ht="27.95" customHeight="1">
      <c r="B20" s="1023">
        <v>4</v>
      </c>
      <c r="C20" s="1025"/>
      <c r="D20" s="936"/>
      <c r="E20" s="1851"/>
      <c r="F20" s="1847"/>
      <c r="G20" s="1847"/>
      <c r="H20" s="1847"/>
      <c r="I20" s="1848"/>
      <c r="K20" s="965"/>
      <c r="L20" s="965"/>
      <c r="M20" s="87"/>
      <c r="N20" s="375">
        <v>0</v>
      </c>
      <c r="O20" s="376">
        <v>20</v>
      </c>
      <c r="P20" s="965"/>
      <c r="Q20" s="965"/>
      <c r="R20" s="965"/>
      <c r="S20" s="965"/>
      <c r="T20" s="965"/>
      <c r="U20" s="965"/>
    </row>
    <row r="21" spans="1:21" s="639" customFormat="1" ht="27.95" customHeight="1">
      <c r="B21" s="1023">
        <v>5</v>
      </c>
      <c r="C21" s="1025"/>
      <c r="D21" s="936"/>
      <c r="E21" s="1851"/>
      <c r="F21" s="1847"/>
      <c r="G21" s="1847"/>
      <c r="H21" s="1847"/>
      <c r="I21" s="1848"/>
      <c r="K21" s="965"/>
      <c r="L21" s="965"/>
      <c r="M21" s="87"/>
      <c r="N21" s="375">
        <v>0</v>
      </c>
      <c r="O21" s="376">
        <v>20</v>
      </c>
      <c r="P21" s="965"/>
      <c r="Q21" s="965"/>
      <c r="R21" s="965"/>
      <c r="S21" s="965"/>
      <c r="T21" s="965"/>
      <c r="U21" s="965"/>
    </row>
    <row r="22" spans="1:21" s="639" customFormat="1" ht="27.95" customHeight="1">
      <c r="B22" s="1023">
        <v>6</v>
      </c>
      <c r="C22" s="1025"/>
      <c r="D22" s="936"/>
      <c r="E22" s="1851"/>
      <c r="F22" s="1847"/>
      <c r="G22" s="1847"/>
      <c r="H22" s="1847"/>
      <c r="I22" s="1848"/>
      <c r="K22" s="965"/>
      <c r="L22" s="965"/>
      <c r="M22" s="87"/>
      <c r="N22" s="375">
        <v>0</v>
      </c>
      <c r="O22" s="376">
        <v>20</v>
      </c>
      <c r="P22" s="965"/>
      <c r="Q22" s="965"/>
      <c r="R22" s="965"/>
      <c r="S22" s="965"/>
      <c r="T22" s="965"/>
      <c r="U22" s="965"/>
    </row>
    <row r="23" spans="1:21" s="639" customFormat="1" ht="27.95" customHeight="1">
      <c r="B23" s="1023">
        <v>7</v>
      </c>
      <c r="C23" s="1025"/>
      <c r="D23" s="936"/>
      <c r="E23" s="1851"/>
      <c r="F23" s="1847"/>
      <c r="G23" s="1847"/>
      <c r="H23" s="1847"/>
      <c r="I23" s="1848"/>
      <c r="K23" s="967"/>
      <c r="L23" s="965"/>
      <c r="M23" s="87"/>
      <c r="N23" s="375">
        <v>0</v>
      </c>
      <c r="O23" s="376">
        <v>20</v>
      </c>
      <c r="P23" s="965"/>
      <c r="Q23" s="965"/>
      <c r="R23" s="965"/>
      <c r="S23" s="965"/>
      <c r="T23" s="965"/>
      <c r="U23" s="965"/>
    </row>
    <row r="24" spans="1:21" s="639" customFormat="1" ht="27.95" customHeight="1">
      <c r="B24" s="1023">
        <v>8</v>
      </c>
      <c r="C24" s="1025"/>
      <c r="D24" s="936"/>
      <c r="E24" s="1851"/>
      <c r="F24" s="1847"/>
      <c r="G24" s="1847"/>
      <c r="H24" s="1847"/>
      <c r="I24" s="1848"/>
      <c r="K24" s="965"/>
      <c r="L24" s="965"/>
      <c r="M24" s="87"/>
      <c r="N24" s="375">
        <v>0</v>
      </c>
      <c r="O24" s="376">
        <v>20</v>
      </c>
      <c r="P24" s="965"/>
      <c r="Q24" s="965"/>
      <c r="R24" s="965"/>
      <c r="S24" s="965"/>
      <c r="T24" s="965"/>
      <c r="U24" s="965"/>
    </row>
    <row r="25" spans="1:21" s="639" customFormat="1" ht="27.95" customHeight="1">
      <c r="B25" s="1023">
        <v>9</v>
      </c>
      <c r="C25" s="1025"/>
      <c r="D25" s="936"/>
      <c r="E25" s="1851"/>
      <c r="F25" s="1847"/>
      <c r="G25" s="1847"/>
      <c r="H25" s="1847"/>
      <c r="I25" s="1848"/>
      <c r="K25" s="965"/>
      <c r="L25" s="965"/>
      <c r="M25" s="87"/>
      <c r="N25" s="375">
        <v>0</v>
      </c>
      <c r="O25" s="376">
        <v>20</v>
      </c>
      <c r="P25" s="965"/>
      <c r="Q25" s="965"/>
      <c r="R25" s="965"/>
      <c r="S25" s="965"/>
      <c r="T25" s="965"/>
      <c r="U25" s="965"/>
    </row>
    <row r="26" spans="1:21" s="639" customFormat="1" ht="27.95" customHeight="1">
      <c r="B26" s="1023">
        <v>10</v>
      </c>
      <c r="C26" s="1025"/>
      <c r="D26" s="936"/>
      <c r="E26" s="1851"/>
      <c r="F26" s="1847"/>
      <c r="G26" s="1847"/>
      <c r="H26" s="1847"/>
      <c r="I26" s="1848"/>
      <c r="K26" s="965"/>
      <c r="L26" s="965"/>
      <c r="M26" s="87"/>
      <c r="N26" s="375">
        <v>0</v>
      </c>
      <c r="O26" s="376">
        <v>20</v>
      </c>
      <c r="P26" s="965"/>
      <c r="Q26" s="965"/>
      <c r="R26" s="965"/>
      <c r="S26" s="965"/>
      <c r="T26" s="965"/>
      <c r="U26" s="965"/>
    </row>
    <row r="27" spans="1:21" s="639" customFormat="1" ht="27.95" customHeight="1">
      <c r="B27" s="1023">
        <v>11</v>
      </c>
      <c r="C27" s="1025"/>
      <c r="D27" s="936"/>
      <c r="E27" s="1851"/>
      <c r="F27" s="1847"/>
      <c r="G27" s="1847"/>
      <c r="H27" s="1847"/>
      <c r="I27" s="1848"/>
      <c r="K27" s="967"/>
      <c r="L27" s="965"/>
      <c r="M27" s="87"/>
      <c r="N27" s="375">
        <v>0</v>
      </c>
      <c r="O27" s="376">
        <v>20</v>
      </c>
      <c r="P27" s="965"/>
      <c r="Q27" s="965"/>
      <c r="R27" s="965"/>
      <c r="S27" s="965"/>
      <c r="T27" s="965"/>
      <c r="U27" s="965"/>
    </row>
    <row r="28" spans="1:21" s="639" customFormat="1" ht="27.95" customHeight="1">
      <c r="B28" s="1023">
        <v>12</v>
      </c>
      <c r="C28" s="1025"/>
      <c r="D28" s="936"/>
      <c r="E28" s="1851"/>
      <c r="F28" s="1847"/>
      <c r="G28" s="1847"/>
      <c r="H28" s="1847"/>
      <c r="I28" s="1848"/>
      <c r="K28" s="965"/>
      <c r="L28" s="968"/>
      <c r="M28" s="87"/>
      <c r="N28" s="375">
        <v>0</v>
      </c>
      <c r="O28" s="376">
        <v>20</v>
      </c>
      <c r="P28" s="969"/>
      <c r="Q28" s="969"/>
      <c r="R28" s="969"/>
      <c r="S28" s="969"/>
      <c r="T28" s="969"/>
      <c r="U28" s="969"/>
    </row>
    <row r="29" spans="1:21" s="639" customFormat="1" ht="27.95" customHeight="1">
      <c r="B29" s="1023">
        <v>13</v>
      </c>
      <c r="C29" s="1025"/>
      <c r="D29" s="936"/>
      <c r="E29" s="1851"/>
      <c r="F29" s="1847"/>
      <c r="G29" s="1847"/>
      <c r="H29" s="1847"/>
      <c r="I29" s="1848"/>
      <c r="K29" s="965"/>
      <c r="L29" s="969"/>
      <c r="M29" s="87"/>
      <c r="N29" s="375">
        <v>0</v>
      </c>
      <c r="O29" s="376">
        <v>20</v>
      </c>
      <c r="P29" s="969"/>
      <c r="Q29" s="969"/>
      <c r="R29" s="969"/>
      <c r="S29" s="969"/>
      <c r="T29" s="969"/>
      <c r="U29" s="969"/>
    </row>
    <row r="30" spans="1:21">
      <c r="K30" s="965"/>
      <c r="L30" s="969"/>
      <c r="M30" s="87"/>
      <c r="N30" s="969"/>
      <c r="O30" s="969"/>
      <c r="P30" s="969"/>
      <c r="Q30" s="969"/>
      <c r="R30" s="969"/>
      <c r="S30" s="969"/>
      <c r="T30" s="969"/>
      <c r="U30" s="969"/>
    </row>
    <row r="31" spans="1:21" ht="25.5" customHeight="1">
      <c r="A31" t="s">
        <v>1908</v>
      </c>
      <c r="B31" s="970"/>
      <c r="C31" s="970"/>
      <c r="D31" s="970"/>
      <c r="E31" s="970"/>
      <c r="F31" s="970"/>
      <c r="G31" s="970"/>
      <c r="H31" s="970"/>
      <c r="I31" s="970"/>
      <c r="K31" s="965"/>
      <c r="L31" s="969"/>
      <c r="M31" s="87"/>
      <c r="N31" s="969"/>
      <c r="O31" s="969"/>
      <c r="P31" s="969"/>
      <c r="Q31" s="969"/>
      <c r="R31" s="969"/>
      <c r="S31" s="969"/>
      <c r="T31" s="969"/>
      <c r="U31" s="969"/>
    </row>
    <row r="32" spans="1:21" s="9" customFormat="1" ht="33" customHeight="1">
      <c r="A32" s="971"/>
      <c r="B32" s="1849" t="s">
        <v>1909</v>
      </c>
      <c r="C32" s="1849"/>
      <c r="D32" s="1849"/>
      <c r="E32" s="1849"/>
      <c r="F32" s="1849"/>
      <c r="G32" s="1849"/>
      <c r="H32" s="1850" t="s">
        <v>1936</v>
      </c>
      <c r="I32" s="1850"/>
      <c r="K32" s="9" t="str">
        <f>IF(H32="","×","○")</f>
        <v>○</v>
      </c>
      <c r="M32" s="87"/>
      <c r="N32" s="969"/>
      <c r="O32" s="969"/>
      <c r="P32" s="969"/>
      <c r="Q32" s="969"/>
      <c r="R32" s="969"/>
      <c r="S32" s="969"/>
      <c r="T32" s="969"/>
      <c r="U32" s="969"/>
    </row>
    <row r="33" spans="1:21" s="9" customFormat="1" ht="33" customHeight="1">
      <c r="A33" s="971"/>
      <c r="B33" s="1849" t="s">
        <v>1910</v>
      </c>
      <c r="C33" s="1849"/>
      <c r="D33" s="1849"/>
      <c r="E33" s="1849"/>
      <c r="F33" s="1849"/>
      <c r="G33" s="1849"/>
      <c r="H33" s="1852" t="s">
        <v>2078</v>
      </c>
      <c r="I33" s="1853"/>
      <c r="K33" s="9" t="str">
        <f t="shared" ref="K33:K36" si="0">IF(H33="","×","○")</f>
        <v>○</v>
      </c>
      <c r="L33" s="972"/>
      <c r="M33" s="87"/>
      <c r="N33" s="972"/>
      <c r="O33" s="972"/>
      <c r="P33" s="972"/>
      <c r="Q33" s="972"/>
      <c r="R33" s="972"/>
      <c r="S33" s="972"/>
      <c r="T33" s="972"/>
      <c r="U33" s="972"/>
    </row>
    <row r="34" spans="1:21" s="9" customFormat="1" ht="33" customHeight="1">
      <c r="A34" s="971"/>
      <c r="B34" s="1849" t="s">
        <v>1911</v>
      </c>
      <c r="C34" s="1849"/>
      <c r="D34" s="1849"/>
      <c r="E34" s="1849"/>
      <c r="F34" s="1849"/>
      <c r="G34" s="1849"/>
      <c r="H34" s="1852" t="s">
        <v>2079</v>
      </c>
      <c r="I34" s="1853"/>
      <c r="K34" s="9" t="str">
        <f t="shared" si="0"/>
        <v>○</v>
      </c>
      <c r="L34" s="972"/>
      <c r="M34" s="87"/>
      <c r="N34" s="972"/>
      <c r="O34" s="972"/>
      <c r="P34" s="972"/>
      <c r="Q34" s="972"/>
      <c r="R34" s="972"/>
      <c r="S34" s="972"/>
      <c r="T34" s="972"/>
      <c r="U34" s="972"/>
    </row>
    <row r="35" spans="1:21" s="9" customFormat="1" ht="33" customHeight="1">
      <c r="A35" s="971"/>
      <c r="B35" s="1849" t="s">
        <v>1912</v>
      </c>
      <c r="C35" s="1849"/>
      <c r="D35" s="1849"/>
      <c r="E35" s="1849"/>
      <c r="F35" s="1849"/>
      <c r="G35" s="1849"/>
      <c r="H35" s="1852" t="s">
        <v>2080</v>
      </c>
      <c r="I35" s="1853"/>
      <c r="K35" s="9" t="str">
        <f t="shared" si="0"/>
        <v>○</v>
      </c>
      <c r="L35" s="972"/>
      <c r="M35" s="87"/>
      <c r="N35" s="972"/>
      <c r="O35" s="972"/>
      <c r="P35" s="972"/>
      <c r="Q35" s="972"/>
      <c r="R35" s="972"/>
      <c r="S35" s="972"/>
      <c r="T35" s="972"/>
      <c r="U35" s="972"/>
    </row>
    <row r="36" spans="1:21" s="9" customFormat="1" ht="33" customHeight="1">
      <c r="A36" s="971"/>
      <c r="B36" s="1849" t="s">
        <v>1913</v>
      </c>
      <c r="C36" s="1849"/>
      <c r="D36" s="1849"/>
      <c r="E36" s="1849"/>
      <c r="F36" s="1849"/>
      <c r="G36" s="1849"/>
      <c r="H36" s="1852" t="s">
        <v>2080</v>
      </c>
      <c r="I36" s="1853"/>
      <c r="K36" s="9" t="str">
        <f t="shared" si="0"/>
        <v>○</v>
      </c>
      <c r="L36" s="972"/>
      <c r="M36" s="87"/>
      <c r="N36" s="972"/>
      <c r="O36" s="972"/>
      <c r="P36" s="972"/>
      <c r="Q36" s="972"/>
      <c r="R36" s="972"/>
      <c r="S36" s="972"/>
      <c r="T36" s="972"/>
      <c r="U36" s="972"/>
    </row>
    <row r="37" spans="1:21" s="9" customFormat="1" ht="33" customHeight="1">
      <c r="A37" s="971"/>
      <c r="B37" s="1863" t="s">
        <v>1914</v>
      </c>
      <c r="C37" s="1863"/>
      <c r="D37" s="1863"/>
      <c r="E37" s="1863"/>
      <c r="F37" s="1863"/>
      <c r="G37" s="1863"/>
      <c r="H37" s="936">
        <v>484</v>
      </c>
      <c r="I37" s="35" t="s">
        <v>1915</v>
      </c>
      <c r="K37" s="672"/>
      <c r="L37" s="972"/>
      <c r="M37" s="87"/>
      <c r="N37" s="375">
        <v>0</v>
      </c>
      <c r="O37" s="376">
        <v>20</v>
      </c>
      <c r="P37" s="972"/>
      <c r="Q37" s="972"/>
      <c r="R37" s="972"/>
      <c r="S37" s="972"/>
      <c r="T37" s="972"/>
      <c r="U37" s="972"/>
    </row>
    <row r="38" spans="1:21" ht="33" customHeight="1">
      <c r="B38" s="1864" t="s">
        <v>1916</v>
      </c>
      <c r="C38" s="1865"/>
      <c r="D38" s="1865"/>
      <c r="E38" s="1865"/>
      <c r="F38" s="1865"/>
      <c r="G38" s="1865"/>
      <c r="H38" s="1865"/>
      <c r="I38" s="1866"/>
      <c r="K38" s="965"/>
      <c r="L38" s="965"/>
      <c r="M38" s="87"/>
      <c r="N38" s="965"/>
      <c r="O38" s="965"/>
      <c r="P38" s="965"/>
      <c r="Q38" s="965"/>
      <c r="R38" s="965"/>
      <c r="S38" s="965"/>
      <c r="T38" s="965"/>
      <c r="U38" s="965"/>
    </row>
    <row r="39" spans="1:21" ht="23.1" customHeight="1">
      <c r="B39" s="1854" t="s">
        <v>2081</v>
      </c>
      <c r="C39" s="1855"/>
      <c r="D39" s="1855"/>
      <c r="E39" s="1855"/>
      <c r="F39" s="1855"/>
      <c r="G39" s="1855"/>
      <c r="H39" s="1855"/>
      <c r="I39" s="1856"/>
      <c r="K39" s="728"/>
      <c r="L39" s="965"/>
      <c r="M39" s="87"/>
      <c r="N39" s="965"/>
      <c r="O39" s="965"/>
      <c r="P39" s="965"/>
      <c r="Q39" s="965"/>
      <c r="R39" s="965"/>
      <c r="S39" s="965"/>
      <c r="T39" s="965"/>
      <c r="U39" s="965"/>
    </row>
    <row r="40" spans="1:21" ht="23.1" customHeight="1">
      <c r="B40" s="1857"/>
      <c r="C40" s="1858"/>
      <c r="D40" s="1858"/>
      <c r="E40" s="1858"/>
      <c r="F40" s="1858"/>
      <c r="G40" s="1858"/>
      <c r="H40" s="1858"/>
      <c r="I40" s="1859"/>
      <c r="K40" s="965"/>
      <c r="L40" s="965"/>
      <c r="M40" s="87"/>
      <c r="N40" s="965"/>
      <c r="O40" s="965"/>
      <c r="P40" s="965"/>
      <c r="Q40" s="965"/>
      <c r="R40" s="965"/>
      <c r="S40" s="965"/>
      <c r="T40" s="965"/>
      <c r="U40" s="965"/>
    </row>
    <row r="41" spans="1:21" ht="23.1" customHeight="1">
      <c r="B41" s="1857"/>
      <c r="C41" s="1858"/>
      <c r="D41" s="1858"/>
      <c r="E41" s="1858"/>
      <c r="F41" s="1858"/>
      <c r="G41" s="1858"/>
      <c r="H41" s="1858"/>
      <c r="I41" s="1859"/>
      <c r="K41" s="965"/>
      <c r="L41" s="965"/>
      <c r="M41" s="87"/>
      <c r="N41" s="965"/>
      <c r="O41" s="965"/>
      <c r="P41" s="965"/>
      <c r="Q41" s="965"/>
      <c r="R41" s="965"/>
      <c r="S41" s="965"/>
      <c r="T41" s="965"/>
      <c r="U41" s="965"/>
    </row>
    <row r="42" spans="1:21" ht="23.1" customHeight="1">
      <c r="B42" s="1857"/>
      <c r="C42" s="1858"/>
      <c r="D42" s="1858"/>
      <c r="E42" s="1858"/>
      <c r="F42" s="1858"/>
      <c r="G42" s="1858"/>
      <c r="H42" s="1858"/>
      <c r="I42" s="1859"/>
      <c r="K42" s="965"/>
      <c r="L42" s="965"/>
      <c r="M42" s="87"/>
      <c r="N42" s="965"/>
      <c r="O42" s="965"/>
      <c r="P42" s="965"/>
      <c r="Q42" s="965"/>
      <c r="R42" s="965"/>
      <c r="S42" s="965"/>
      <c r="T42" s="965"/>
      <c r="U42" s="965"/>
    </row>
    <row r="43" spans="1:21" ht="23.1" customHeight="1">
      <c r="B43" s="1860"/>
      <c r="C43" s="1861"/>
      <c r="D43" s="1861"/>
      <c r="E43" s="1861"/>
      <c r="F43" s="1861"/>
      <c r="G43" s="1861"/>
      <c r="H43" s="1861"/>
      <c r="I43" s="1862"/>
      <c r="K43" s="965"/>
      <c r="L43" s="965"/>
      <c r="M43" s="87"/>
      <c r="N43" s="965"/>
      <c r="O43" s="965"/>
      <c r="P43" s="965"/>
      <c r="Q43" s="965"/>
      <c r="R43" s="965"/>
      <c r="S43" s="965"/>
      <c r="T43" s="965"/>
      <c r="U43" s="965"/>
    </row>
    <row r="44" spans="1:21" ht="33" customHeight="1">
      <c r="B44" s="1867" t="s">
        <v>1917</v>
      </c>
      <c r="C44" s="1868"/>
      <c r="D44" s="1868"/>
      <c r="E44" s="1868"/>
      <c r="F44" s="1868"/>
      <c r="G44" s="1868"/>
      <c r="H44" s="1868"/>
      <c r="I44" s="1869"/>
      <c r="K44" s="965"/>
      <c r="L44" s="965"/>
      <c r="M44" s="87"/>
      <c r="N44" s="965"/>
      <c r="O44" s="965"/>
      <c r="P44" s="965"/>
      <c r="Q44" s="965"/>
      <c r="R44" s="965"/>
      <c r="S44" s="965"/>
      <c r="T44" s="965"/>
      <c r="U44" s="965"/>
    </row>
    <row r="45" spans="1:21" ht="23.1" customHeight="1">
      <c r="B45" s="1854" t="s">
        <v>2082</v>
      </c>
      <c r="C45" s="1855"/>
      <c r="D45" s="1855"/>
      <c r="E45" s="1855"/>
      <c r="F45" s="1855"/>
      <c r="G45" s="1855"/>
      <c r="H45" s="1855"/>
      <c r="I45" s="1856"/>
      <c r="K45" s="965"/>
      <c r="L45" s="965"/>
      <c r="M45" s="87"/>
      <c r="N45" s="965"/>
      <c r="O45" s="965"/>
      <c r="P45" s="965"/>
      <c r="Q45" s="965"/>
      <c r="R45" s="965"/>
      <c r="S45" s="965"/>
      <c r="T45" s="965"/>
      <c r="U45" s="965"/>
    </row>
    <row r="46" spans="1:21" ht="23.1" customHeight="1">
      <c r="B46" s="1857"/>
      <c r="C46" s="1858"/>
      <c r="D46" s="1858"/>
      <c r="E46" s="1858"/>
      <c r="F46" s="1858"/>
      <c r="G46" s="1858"/>
      <c r="H46" s="1858"/>
      <c r="I46" s="1859"/>
      <c r="K46" s="965"/>
      <c r="L46" s="965"/>
      <c r="M46" s="87"/>
      <c r="N46" s="965"/>
      <c r="O46" s="965"/>
      <c r="P46" s="965"/>
      <c r="Q46" s="965"/>
      <c r="R46" s="965"/>
      <c r="S46" s="965"/>
      <c r="T46" s="965"/>
      <c r="U46" s="965"/>
    </row>
    <row r="47" spans="1:21" ht="23.1" customHeight="1">
      <c r="B47" s="1860"/>
      <c r="C47" s="1861"/>
      <c r="D47" s="1861"/>
      <c r="E47" s="1861"/>
      <c r="F47" s="1861"/>
      <c r="G47" s="1861"/>
      <c r="H47" s="1861"/>
      <c r="I47" s="1862"/>
      <c r="K47" s="965"/>
      <c r="L47" s="965"/>
      <c r="M47" s="87"/>
      <c r="N47" s="965"/>
      <c r="O47" s="965"/>
      <c r="P47" s="965"/>
      <c r="Q47" s="965"/>
      <c r="R47" s="965"/>
      <c r="S47" s="965"/>
      <c r="T47" s="965"/>
      <c r="U47" s="965"/>
    </row>
    <row r="48" spans="1:21" ht="9.9499999999999993" customHeight="1">
      <c r="M48" s="190"/>
    </row>
    <row r="49" spans="13:13">
      <c r="M49" s="120"/>
    </row>
    <row r="50" spans="13:13">
      <c r="M50" s="120"/>
    </row>
    <row r="51" spans="13:13">
      <c r="M51" s="120"/>
    </row>
    <row r="52" spans="13:13">
      <c r="M52" s="120"/>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10"/>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5"/>
  <sheetViews>
    <sheetView view="pageBreakPreview" zoomScale="90" zoomScaleNormal="90" zoomScaleSheetLayoutView="90" workbookViewId="0">
      <selection activeCell="R316" sqref="R316:R317"/>
    </sheetView>
  </sheetViews>
  <sheetFormatPr defaultColWidth="9" defaultRowHeight="20.100000000000001" customHeight="1"/>
  <cols>
    <col min="1" max="1" width="1.875" style="192" customWidth="1"/>
    <col min="2" max="2" width="3.375" style="192" customWidth="1"/>
    <col min="3" max="3" width="6" style="192" customWidth="1"/>
    <col min="4" max="4" width="2.625" style="192" customWidth="1"/>
    <col min="5" max="5" width="2.875" style="192" customWidth="1"/>
    <col min="6" max="6" width="14.75" style="3" customWidth="1"/>
    <col min="7" max="7" width="37.75" style="193" customWidth="1"/>
    <col min="8" max="8" width="37" style="8" customWidth="1"/>
    <col min="9" max="9" width="10.625" style="194" customWidth="1"/>
    <col min="10" max="10" width="5.625" style="9" customWidth="1"/>
    <col min="11" max="11" width="2.375" style="9" customWidth="1"/>
    <col min="12" max="13" width="5.625" style="9" customWidth="1"/>
    <col min="14" max="14" width="7" style="9" customWidth="1"/>
    <col min="15" max="17" width="5.625" style="9" customWidth="1"/>
    <col min="18" max="18" width="10.625" style="194" customWidth="1"/>
    <col min="19" max="19" width="5.625" style="9" customWidth="1"/>
    <col min="20" max="20" width="10.625" style="3" customWidth="1"/>
    <col min="21" max="21" width="7.875" style="9" customWidth="1"/>
    <col min="22" max="22" width="6.375" style="48" customWidth="1"/>
    <col min="23" max="23" width="12.875" style="194" customWidth="1"/>
    <col min="24" max="24" width="4.625" style="3" hidden="1" customWidth="1"/>
    <col min="25" max="25" width="94" style="196" customWidth="1"/>
    <col min="26" max="26" width="0" style="3" hidden="1" customWidth="1"/>
    <col min="27" max="27" width="11.75" style="3" hidden="1" customWidth="1"/>
    <col min="28" max="29" width="0" style="3" hidden="1" customWidth="1"/>
    <col min="30" max="30" width="9" style="3"/>
    <col min="31" max="16384" width="9" style="192"/>
  </cols>
  <sheetData>
    <row r="1" spans="1:30" ht="17.25" customHeight="1">
      <c r="A1" s="3"/>
      <c r="U1" s="195"/>
      <c r="V1" s="1199" t="str">
        <f>IF(COUNTIF((W5:W317),"未入力あり"),"※このシートには未入力があります。「未入力あり」の行を確認してください。↓","✔チェック欄に未入力なし")</f>
        <v>✔チェック欄に未入力なし</v>
      </c>
      <c r="W1" s="1199"/>
    </row>
    <row r="2" spans="1:30" ht="28.5" customHeight="1">
      <c r="A2" s="1209" t="s">
        <v>270</v>
      </c>
      <c r="B2" s="1209"/>
      <c r="C2" s="1209"/>
      <c r="D2" s="1209"/>
      <c r="E2" s="1209"/>
      <c r="F2" s="1209"/>
      <c r="G2" s="1209"/>
      <c r="H2" s="1209"/>
      <c r="I2" s="1209"/>
      <c r="J2" s="1209"/>
      <c r="K2" s="1209"/>
      <c r="L2" s="1209"/>
      <c r="M2" s="1209"/>
      <c r="N2" s="1209"/>
      <c r="O2" s="1209"/>
      <c r="P2" s="1209"/>
      <c r="Q2" s="1209"/>
      <c r="R2" s="1209"/>
      <c r="S2" s="1209"/>
      <c r="T2" s="1209"/>
      <c r="U2" s="1209"/>
      <c r="V2" s="1199"/>
      <c r="W2" s="1199"/>
      <c r="X2" s="192"/>
      <c r="Y2" s="197"/>
    </row>
    <row r="3" spans="1:30" ht="24.95" customHeight="1">
      <c r="A3" s="1213" t="str">
        <f>+'事務局使用（発出時は非表示にすること）'!B3&amp;"について記載"</f>
        <v>令和６年９月１日時点について記載</v>
      </c>
      <c r="B3" s="1213"/>
      <c r="C3" s="1213"/>
      <c r="D3" s="1213"/>
      <c r="E3" s="1213"/>
      <c r="F3" s="1213"/>
      <c r="G3" s="1213"/>
      <c r="H3" s="1213"/>
      <c r="I3" s="1213"/>
      <c r="J3" s="1213"/>
      <c r="K3" s="1213"/>
      <c r="L3" s="1213"/>
      <c r="M3" s="1213"/>
      <c r="N3" s="1213"/>
      <c r="O3" s="1213"/>
      <c r="P3" s="1213"/>
      <c r="Q3" s="1213"/>
      <c r="R3" s="1213"/>
      <c r="S3" s="1213"/>
      <c r="T3" s="1213"/>
      <c r="U3" s="1213"/>
      <c r="V3" s="1199"/>
      <c r="W3" s="1199"/>
      <c r="Y3" s="198" t="s">
        <v>271</v>
      </c>
    </row>
    <row r="4" spans="1:30" ht="9.75" customHeight="1" thickBot="1">
      <c r="V4" s="1199"/>
      <c r="W4" s="1199"/>
      <c r="Y4" s="164"/>
    </row>
    <row r="5" spans="1:30" ht="20.100000000000001" customHeight="1" thickBot="1">
      <c r="A5" s="192" t="s">
        <v>272</v>
      </c>
      <c r="G5" s="43" t="s">
        <v>1919</v>
      </c>
      <c r="H5" s="1" t="str">
        <f>+IF(ISBLANK(G5),"令和７年４月１日以降指定を希望する類型を選択してください。","")</f>
        <v/>
      </c>
      <c r="I5" s="1"/>
      <c r="J5" s="1"/>
      <c r="K5" s="1178"/>
      <c r="L5" s="1179"/>
      <c r="M5" s="1179"/>
      <c r="N5" s="1180"/>
      <c r="O5" s="1" t="str">
        <f>+IF(ISBLANK(K5),"令和７年４月１日以降の指定更新を希望しない場合は選択してください。","")</f>
        <v>令和７年４月１日以降の指定更新を希望しない場合は選択してください。</v>
      </c>
      <c r="P5" s="1"/>
      <c r="Q5" s="1"/>
      <c r="R5"/>
      <c r="S5"/>
      <c r="T5"/>
      <c r="W5" s="199" t="str">
        <f>IF(G5="","未入力あり","✔")</f>
        <v>✔</v>
      </c>
      <c r="Y5" s="164"/>
    </row>
    <row r="6" spans="1:30" ht="19.5" customHeight="1" thickBot="1">
      <c r="F6" s="11" t="s">
        <v>273</v>
      </c>
      <c r="G6" s="43" t="s">
        <v>1919</v>
      </c>
      <c r="H6" s="1" t="str">
        <f>+IF(ISBLANK(G6),"令和６年９月１日時点で指定を受けている類型を選択してください。","")</f>
        <v/>
      </c>
      <c r="I6" s="192"/>
      <c r="O6" s="1" t="str">
        <f>+IF(ISBLANK(K5),"また、その場合は推薦区分に現行の指定区分を便宜的に選択してください。","")</f>
        <v>また、その場合は推薦区分に現行の指定区分を便宜的に選択してください。</v>
      </c>
      <c r="R6" s="192"/>
      <c r="S6" s="192"/>
      <c r="T6" s="192"/>
      <c r="W6" s="199" t="str">
        <f t="shared" ref="W6:W8" si="0">IF(G6="","未入力あり","✔")</f>
        <v>✔</v>
      </c>
      <c r="Y6" s="164"/>
    </row>
    <row r="7" spans="1:30" s="202" customFormat="1" ht="20.100000000000001" customHeight="1" thickBot="1">
      <c r="A7" s="192"/>
      <c r="B7" s="192"/>
      <c r="C7" s="192"/>
      <c r="D7" s="192"/>
      <c r="E7" s="192"/>
      <c r="F7" s="11" t="s">
        <v>274</v>
      </c>
      <c r="G7" s="63" t="s">
        <v>1920</v>
      </c>
      <c r="H7" t="s">
        <v>275</v>
      </c>
      <c r="I7" s="192"/>
      <c r="J7" s="9"/>
      <c r="K7" s="9"/>
      <c r="L7" s="9"/>
      <c r="M7" s="9"/>
      <c r="N7" s="9"/>
      <c r="O7" s="9"/>
      <c r="P7" s="9"/>
      <c r="Q7" s="9"/>
      <c r="R7" s="192"/>
      <c r="S7" s="192"/>
      <c r="T7" s="192"/>
      <c r="U7" s="9"/>
      <c r="V7" s="200"/>
      <c r="W7" s="199" t="str">
        <f t="shared" si="0"/>
        <v>✔</v>
      </c>
      <c r="X7" s="201"/>
      <c r="Y7" s="164"/>
      <c r="Z7" s="201"/>
      <c r="AA7" s="201"/>
      <c r="AB7" s="201"/>
      <c r="AC7" s="201"/>
      <c r="AD7" s="201"/>
    </row>
    <row r="8" spans="1:30" ht="20.100000000000001" customHeight="1" thickBot="1">
      <c r="F8" s="11" t="s">
        <v>276</v>
      </c>
      <c r="G8" s="49" t="s">
        <v>1920</v>
      </c>
      <c r="H8" t="s">
        <v>275</v>
      </c>
      <c r="W8" s="199" t="str">
        <f t="shared" si="0"/>
        <v>✔</v>
      </c>
      <c r="Y8" s="164"/>
    </row>
    <row r="9" spans="1:30" ht="20.100000000000001" customHeight="1">
      <c r="A9" s="203" t="s">
        <v>277</v>
      </c>
      <c r="I9" s="192"/>
      <c r="J9" s="192"/>
      <c r="K9" s="204"/>
      <c r="L9" s="203"/>
      <c r="T9" s="192"/>
      <c r="Y9" s="164"/>
    </row>
    <row r="10" spans="1:30" ht="20.100000000000001" customHeight="1">
      <c r="A10" s="203" t="s">
        <v>278</v>
      </c>
      <c r="I10" s="192"/>
      <c r="J10" s="192"/>
      <c r="K10" s="204"/>
      <c r="L10" s="203"/>
      <c r="T10" s="192"/>
      <c r="Y10" s="165"/>
    </row>
    <row r="11" spans="1:30" ht="20.100000000000001" customHeight="1">
      <c r="A11" s="203"/>
      <c r="L11" s="192"/>
      <c r="M11" s="192"/>
      <c r="N11" s="192"/>
      <c r="O11" s="192"/>
      <c r="P11" s="192"/>
      <c r="Q11" s="192"/>
      <c r="R11" s="192"/>
      <c r="S11" s="192"/>
      <c r="Y11" s="164"/>
    </row>
    <row r="12" spans="1:30" ht="20.100000000000001" customHeight="1">
      <c r="A12" s="192" t="s">
        <v>279</v>
      </c>
      <c r="T12" s="194"/>
      <c r="U12" s="205"/>
      <c r="W12" s="192"/>
      <c r="Y12" s="164"/>
    </row>
    <row r="13" spans="1:30" ht="21.75" customHeight="1">
      <c r="A13" s="1048" t="s">
        <v>280</v>
      </c>
      <c r="B13" s="1049"/>
      <c r="C13" s="1049"/>
      <c r="D13" s="1049"/>
      <c r="E13" s="1049"/>
      <c r="F13" s="1050"/>
      <c r="G13" s="1051"/>
      <c r="H13" s="1210" t="str">
        <f>表紙!E2</f>
        <v>市立豊中病院</v>
      </c>
      <c r="I13" s="1211"/>
      <c r="J13" s="1211"/>
      <c r="K13" s="1211"/>
      <c r="L13" s="1211"/>
      <c r="M13" s="1211"/>
      <c r="N13" s="1211"/>
      <c r="O13" s="1211"/>
      <c r="P13" s="1211"/>
      <c r="Q13" s="1211"/>
      <c r="R13" s="1211"/>
      <c r="S13" s="1211"/>
      <c r="T13" s="1212"/>
      <c r="U13" s="1052"/>
      <c r="V13" s="48">
        <f>+ROW()</f>
        <v>13</v>
      </c>
      <c r="Y13" s="164"/>
    </row>
    <row r="14" spans="1:30" ht="18" thickBot="1">
      <c r="A14" s="206"/>
      <c r="B14" s="207"/>
      <c r="C14" s="207"/>
      <c r="D14" s="207"/>
      <c r="E14" s="207"/>
      <c r="F14" s="208"/>
      <c r="G14" s="209"/>
      <c r="H14" s="210"/>
      <c r="I14" s="211"/>
      <c r="J14" s="211"/>
      <c r="K14" s="211"/>
      <c r="L14" s="211"/>
      <c r="M14" s="211"/>
      <c r="N14" s="211"/>
      <c r="O14" s="211"/>
      <c r="P14" s="211"/>
      <c r="Q14" s="211"/>
      <c r="R14" s="211"/>
      <c r="S14" s="211"/>
      <c r="T14" s="212"/>
      <c r="U14" s="213"/>
      <c r="V14" s="48">
        <f t="shared" ref="V14:V80" si="1">+ROW()</f>
        <v>14</v>
      </c>
      <c r="Y14" s="164"/>
    </row>
    <row r="15" spans="1:30" ht="20.100000000000001" customHeight="1" thickBot="1">
      <c r="A15" s="214"/>
      <c r="B15" s="215" t="s">
        <v>281</v>
      </c>
      <c r="C15" s="215"/>
      <c r="D15" s="215"/>
      <c r="E15" s="215"/>
      <c r="F15" s="216"/>
      <c r="G15" s="217"/>
      <c r="H15" s="1214" t="s">
        <v>1921</v>
      </c>
      <c r="I15" s="1215"/>
      <c r="J15" s="1215"/>
      <c r="K15" s="1215"/>
      <c r="L15" s="1215"/>
      <c r="M15" s="1215"/>
      <c r="N15" s="1215"/>
      <c r="O15" s="1215"/>
      <c r="P15" s="1215"/>
      <c r="Q15" s="1215"/>
      <c r="R15" s="1215"/>
      <c r="S15" s="1215"/>
      <c r="T15" s="1216"/>
      <c r="U15" s="218"/>
      <c r="V15" s="48">
        <f t="shared" si="1"/>
        <v>15</v>
      </c>
      <c r="W15" s="1027" t="str">
        <f>IF(H15="","未入力あり","✔")</f>
        <v>✔</v>
      </c>
      <c r="Y15" s="164"/>
    </row>
    <row r="16" spans="1:30" ht="20.100000000000001" customHeight="1">
      <c r="A16" s="219"/>
      <c r="B16" s="215"/>
      <c r="C16" s="215"/>
      <c r="D16" s="215"/>
      <c r="E16" s="215"/>
      <c r="F16" s="216"/>
      <c r="G16" s="217"/>
      <c r="H16" s="220"/>
      <c r="I16" s="220"/>
      <c r="J16" s="220"/>
      <c r="K16" s="220"/>
      <c r="L16" s="220"/>
      <c r="M16" s="220"/>
      <c r="N16" s="220"/>
      <c r="O16" s="220"/>
      <c r="P16" s="220"/>
      <c r="Q16" s="220"/>
      <c r="R16" s="220"/>
      <c r="S16" s="220"/>
      <c r="T16" s="220"/>
      <c r="U16" s="218"/>
      <c r="V16" s="48">
        <f t="shared" si="1"/>
        <v>16</v>
      </c>
      <c r="W16" s="1028"/>
      <c r="Y16" s="164"/>
    </row>
    <row r="17" spans="1:30" ht="20.100000000000001" customHeight="1" thickBot="1">
      <c r="A17" s="214" t="s">
        <v>282</v>
      </c>
      <c r="B17" s="215"/>
      <c r="C17" s="215"/>
      <c r="D17" s="215"/>
      <c r="E17" s="215"/>
      <c r="F17" s="216"/>
      <c r="G17" s="217"/>
      <c r="H17" s="221"/>
      <c r="I17" s="216"/>
      <c r="J17" s="216"/>
      <c r="K17" s="216"/>
      <c r="L17" s="216"/>
      <c r="M17" s="216"/>
      <c r="N17" s="216"/>
      <c r="O17" s="216"/>
      <c r="P17" s="216"/>
      <c r="Q17" s="216"/>
      <c r="R17" s="216"/>
      <c r="S17" s="216"/>
      <c r="T17" s="216"/>
      <c r="U17" s="222"/>
      <c r="V17" s="48">
        <f t="shared" si="1"/>
        <v>17</v>
      </c>
      <c r="W17" s="1028"/>
      <c r="Y17" s="164"/>
      <c r="Z17" s="1198"/>
    </row>
    <row r="18" spans="1:30" ht="20.100000000000001" customHeight="1" thickBot="1">
      <c r="A18" s="214"/>
      <c r="B18" s="215" t="s">
        <v>283</v>
      </c>
      <c r="C18" s="215"/>
      <c r="D18" s="215"/>
      <c r="E18" s="215"/>
      <c r="F18" s="216"/>
      <c r="G18" s="223" t="s">
        <v>284</v>
      </c>
      <c r="H18" s="1147" t="s">
        <v>1922</v>
      </c>
      <c r="I18" s="224"/>
      <c r="J18" s="224"/>
      <c r="K18" s="224"/>
      <c r="L18" s="224"/>
      <c r="M18" s="224"/>
      <c r="N18" s="224"/>
      <c r="O18" s="224"/>
      <c r="P18" s="224"/>
      <c r="Q18" s="224"/>
      <c r="R18" s="224"/>
      <c r="S18" s="224"/>
      <c r="T18" s="224"/>
      <c r="U18" s="222"/>
      <c r="V18" s="48">
        <f t="shared" si="1"/>
        <v>18</v>
      </c>
      <c r="W18" s="1027" t="str">
        <f>IF(H18="","未入力あり","✔")</f>
        <v>✔</v>
      </c>
      <c r="Y18" s="164"/>
      <c r="Z18" s="1198"/>
    </row>
    <row r="19" spans="1:30" ht="20.100000000000001" customHeight="1" thickBot="1">
      <c r="A19" s="214"/>
      <c r="B19" s="215" t="s">
        <v>285</v>
      </c>
      <c r="C19" s="217"/>
      <c r="D19" s="217"/>
      <c r="E19" s="217"/>
      <c r="F19" s="216"/>
      <c r="G19" s="46"/>
      <c r="H19" s="110" t="s">
        <v>1923</v>
      </c>
      <c r="I19" s="1217" t="s">
        <v>1924</v>
      </c>
      <c r="J19" s="1218"/>
      <c r="K19" s="1218"/>
      <c r="L19" s="1218"/>
      <c r="M19" s="1218"/>
      <c r="N19" s="1218"/>
      <c r="O19" s="1218"/>
      <c r="P19" s="1218"/>
      <c r="Q19" s="1218"/>
      <c r="R19" s="1218"/>
      <c r="S19" s="1218"/>
      <c r="T19" s="1219"/>
      <c r="U19" s="222"/>
      <c r="V19" s="48">
        <f t="shared" si="1"/>
        <v>19</v>
      </c>
      <c r="W19" s="1027" t="str">
        <f>IF(OR(H19="",I19=""),"未入力あり","✔")</f>
        <v>✔</v>
      </c>
      <c r="Y19" s="164"/>
      <c r="Z19" s="1198"/>
    </row>
    <row r="20" spans="1:30" ht="21" customHeight="1" thickBot="1">
      <c r="A20" s="206"/>
      <c r="B20" s="207" t="s">
        <v>281</v>
      </c>
      <c r="C20" s="209"/>
      <c r="D20" s="209"/>
      <c r="E20" s="209"/>
      <c r="F20" s="208"/>
      <c r="G20" s="47"/>
      <c r="H20" s="1"/>
      <c r="I20" s="1200" t="s">
        <v>1925</v>
      </c>
      <c r="J20" s="1201"/>
      <c r="K20" s="1201"/>
      <c r="L20" s="1201"/>
      <c r="M20" s="1201"/>
      <c r="N20" s="1201"/>
      <c r="O20" s="1201"/>
      <c r="P20" s="1201"/>
      <c r="Q20" s="1201"/>
      <c r="R20" s="1201"/>
      <c r="S20" s="1201"/>
      <c r="T20" s="1202"/>
      <c r="U20" s="225"/>
      <c r="V20" s="48">
        <f t="shared" si="1"/>
        <v>20</v>
      </c>
      <c r="W20" s="1027" t="str">
        <f>IF(I20="","未入力あり","✔")</f>
        <v>✔</v>
      </c>
      <c r="Y20" s="164"/>
      <c r="Z20" s="1198"/>
      <c r="AA20" s="192"/>
      <c r="AB20" s="192"/>
      <c r="AC20" s="192"/>
      <c r="AD20" s="192"/>
    </row>
    <row r="21" spans="1:30" ht="20.100000000000001" customHeight="1" thickBot="1">
      <c r="A21" s="214"/>
      <c r="B21" s="215" t="s">
        <v>286</v>
      </c>
      <c r="C21" s="217"/>
      <c r="D21" s="217"/>
      <c r="E21" s="217"/>
      <c r="F21" s="216"/>
      <c r="G21" s="217"/>
      <c r="H21" s="1203" t="s">
        <v>1926</v>
      </c>
      <c r="I21" s="1204"/>
      <c r="J21" s="1204"/>
      <c r="K21" s="1204"/>
      <c r="L21" s="1204"/>
      <c r="M21" s="1204"/>
      <c r="N21" s="1204"/>
      <c r="O21" s="1204"/>
      <c r="P21" s="1204"/>
      <c r="Q21" s="1204"/>
      <c r="R21" s="1204"/>
      <c r="S21" s="1204"/>
      <c r="T21" s="1205"/>
      <c r="U21" s="222"/>
      <c r="V21" s="48">
        <f t="shared" si="1"/>
        <v>21</v>
      </c>
      <c r="W21" s="1027" t="str">
        <f t="shared" ref="W21:W26" si="2">IF(H21="","未入力あり","✔")</f>
        <v>✔</v>
      </c>
      <c r="Y21" s="164"/>
      <c r="Z21" s="1198"/>
      <c r="AA21" s="192"/>
      <c r="AB21" s="192"/>
      <c r="AC21" s="192"/>
      <c r="AD21" s="192"/>
    </row>
    <row r="22" spans="1:30" ht="20.100000000000001" customHeight="1" thickBot="1">
      <c r="A22" s="214"/>
      <c r="B22" s="215" t="s">
        <v>287</v>
      </c>
      <c r="C22" s="217"/>
      <c r="D22" s="217"/>
      <c r="E22" s="217"/>
      <c r="F22" s="216"/>
      <c r="G22" s="217"/>
      <c r="H22" s="1203" t="s">
        <v>1927</v>
      </c>
      <c r="I22" s="1204"/>
      <c r="J22" s="1204"/>
      <c r="K22" s="1204"/>
      <c r="L22" s="1204"/>
      <c r="M22" s="1204"/>
      <c r="N22" s="1204"/>
      <c r="O22" s="1204"/>
      <c r="P22" s="1204"/>
      <c r="Q22" s="1204"/>
      <c r="R22" s="1204"/>
      <c r="S22" s="1204"/>
      <c r="T22" s="1205"/>
      <c r="U22" s="222"/>
      <c r="V22" s="48">
        <f t="shared" si="1"/>
        <v>22</v>
      </c>
      <c r="W22" s="1027" t="str">
        <f t="shared" si="2"/>
        <v>✔</v>
      </c>
      <c r="Y22" s="164"/>
      <c r="Z22" s="1198"/>
      <c r="AA22" s="192"/>
      <c r="AB22" s="192"/>
      <c r="AC22" s="192"/>
      <c r="AD22" s="192"/>
    </row>
    <row r="23" spans="1:30" ht="20.100000000000001" customHeight="1" thickBot="1">
      <c r="A23" s="214"/>
      <c r="B23" s="215" t="s">
        <v>288</v>
      </c>
      <c r="C23" s="217"/>
      <c r="D23" s="217"/>
      <c r="E23" s="217"/>
      <c r="F23" s="216"/>
      <c r="G23" s="217"/>
      <c r="H23" s="1206" t="s">
        <v>1928</v>
      </c>
      <c r="I23" s="1207"/>
      <c r="J23" s="1207"/>
      <c r="K23" s="1207"/>
      <c r="L23" s="1207"/>
      <c r="M23" s="1207"/>
      <c r="N23" s="1207"/>
      <c r="O23" s="1207"/>
      <c r="P23" s="1207"/>
      <c r="Q23" s="1207"/>
      <c r="R23" s="1207"/>
      <c r="S23" s="1207"/>
      <c r="T23" s="1208"/>
      <c r="U23" s="222"/>
      <c r="V23" s="48">
        <f t="shared" si="1"/>
        <v>23</v>
      </c>
      <c r="W23" s="1027" t="str">
        <f t="shared" si="2"/>
        <v>✔</v>
      </c>
      <c r="Y23" s="164"/>
      <c r="Z23" s="1198"/>
      <c r="AA23" s="192"/>
      <c r="AB23" s="192"/>
      <c r="AC23" s="192"/>
      <c r="AD23" s="192"/>
    </row>
    <row r="24" spans="1:30" ht="20.100000000000001" customHeight="1" thickBot="1">
      <c r="A24" s="214"/>
      <c r="B24" s="215" t="s">
        <v>289</v>
      </c>
      <c r="C24" s="217"/>
      <c r="D24" s="217"/>
      <c r="E24" s="217"/>
      <c r="F24" s="216"/>
      <c r="G24" s="217"/>
      <c r="H24" s="1203" t="s">
        <v>1929</v>
      </c>
      <c r="I24" s="1204"/>
      <c r="J24" s="1204"/>
      <c r="K24" s="1204"/>
      <c r="L24" s="1204"/>
      <c r="M24" s="1204"/>
      <c r="N24" s="1204"/>
      <c r="O24" s="1204"/>
      <c r="P24" s="1204"/>
      <c r="Q24" s="1204"/>
      <c r="R24" s="1204"/>
      <c r="S24" s="1204"/>
      <c r="T24" s="1205"/>
      <c r="U24" s="222"/>
      <c r="V24" s="48">
        <f t="shared" si="1"/>
        <v>24</v>
      </c>
      <c r="W24" s="1027" t="str">
        <f t="shared" si="2"/>
        <v>✔</v>
      </c>
      <c r="Y24" s="164"/>
      <c r="Z24" s="1198"/>
      <c r="AA24" s="192"/>
      <c r="AB24" s="192"/>
      <c r="AC24" s="192"/>
      <c r="AD24" s="192"/>
    </row>
    <row r="25" spans="1:30" ht="20.100000000000001" customHeight="1" thickBot="1">
      <c r="A25" s="214"/>
      <c r="B25" s="215" t="s">
        <v>290</v>
      </c>
      <c r="C25" s="215"/>
      <c r="D25" s="215"/>
      <c r="E25" s="215"/>
      <c r="F25" s="216"/>
      <c r="G25" s="217"/>
      <c r="H25" s="1194" t="s">
        <v>1930</v>
      </c>
      <c r="I25" s="1195"/>
      <c r="J25" s="1195"/>
      <c r="K25" s="1195"/>
      <c r="L25" s="1195"/>
      <c r="M25" s="1195"/>
      <c r="N25" s="1195"/>
      <c r="O25" s="1195"/>
      <c r="P25" s="1195"/>
      <c r="Q25" s="1195"/>
      <c r="R25" s="1195"/>
      <c r="S25" s="1195"/>
      <c r="T25" s="1196"/>
      <c r="U25" s="222"/>
      <c r="V25" s="48">
        <f t="shared" si="1"/>
        <v>25</v>
      </c>
      <c r="W25" s="1027" t="str">
        <f t="shared" si="2"/>
        <v>✔</v>
      </c>
      <c r="Y25" s="164"/>
      <c r="Z25" s="1198"/>
      <c r="AA25" s="192"/>
      <c r="AB25" s="192"/>
      <c r="AC25" s="192"/>
      <c r="AD25" s="192"/>
    </row>
    <row r="26" spans="1:30" ht="20.100000000000001" customHeight="1" thickBot="1">
      <c r="A26" s="214"/>
      <c r="B26" s="215" t="s">
        <v>291</v>
      </c>
      <c r="C26" s="215"/>
      <c r="D26" s="215"/>
      <c r="E26" s="215"/>
      <c r="F26" s="216"/>
      <c r="G26" s="217"/>
      <c r="H26" s="1194" t="s">
        <v>1931</v>
      </c>
      <c r="I26" s="1195"/>
      <c r="J26" s="1195"/>
      <c r="K26" s="1195"/>
      <c r="L26" s="1195"/>
      <c r="M26" s="1195"/>
      <c r="N26" s="1195"/>
      <c r="O26" s="1195"/>
      <c r="P26" s="1195"/>
      <c r="Q26" s="1195"/>
      <c r="R26" s="1195"/>
      <c r="S26" s="1195"/>
      <c r="T26" s="1196"/>
      <c r="U26" s="222"/>
      <c r="V26" s="48">
        <f t="shared" si="1"/>
        <v>26</v>
      </c>
      <c r="W26" s="1027" t="str">
        <f t="shared" si="2"/>
        <v>✔</v>
      </c>
      <c r="Y26" s="164"/>
      <c r="Z26" s="1198"/>
      <c r="AA26" s="192"/>
      <c r="AB26" s="192"/>
      <c r="AC26" s="192"/>
      <c r="AD26" s="192"/>
    </row>
    <row r="27" spans="1:30" ht="20.100000000000001" customHeight="1">
      <c r="A27" s="219"/>
      <c r="B27" s="215"/>
      <c r="C27" s="215"/>
      <c r="D27" s="215"/>
      <c r="E27" s="215"/>
      <c r="F27" s="216"/>
      <c r="G27" s="217"/>
      <c r="H27" s="226"/>
      <c r="I27" s="227"/>
      <c r="J27" s="226"/>
      <c r="K27" s="226"/>
      <c r="L27" s="226"/>
      <c r="M27" s="226"/>
      <c r="N27" s="226"/>
      <c r="O27" s="226"/>
      <c r="P27" s="226"/>
      <c r="Q27" s="226"/>
      <c r="R27" s="227"/>
      <c r="S27" s="228"/>
      <c r="T27" s="228"/>
      <c r="U27" s="229"/>
      <c r="V27" s="48">
        <f t="shared" si="1"/>
        <v>27</v>
      </c>
      <c r="Y27" s="164"/>
      <c r="Z27" s="1198"/>
      <c r="AA27" s="192"/>
      <c r="AB27" s="192"/>
      <c r="AC27" s="192"/>
      <c r="AD27" s="192"/>
    </row>
    <row r="28" spans="1:30" ht="27" customHeight="1">
      <c r="A28" s="214" t="s">
        <v>292</v>
      </c>
      <c r="B28" s="215"/>
      <c r="C28" s="215"/>
      <c r="D28" s="215"/>
      <c r="E28" s="215"/>
      <c r="F28" s="215"/>
      <c r="G28" s="217"/>
      <c r="H28" s="230"/>
      <c r="I28" s="231"/>
      <c r="J28" s="215"/>
      <c r="K28" s="215"/>
      <c r="L28" s="215"/>
      <c r="M28" s="215"/>
      <c r="N28" s="215"/>
      <c r="O28" s="215"/>
      <c r="P28" s="215"/>
      <c r="Q28" s="215"/>
      <c r="R28" s="231"/>
      <c r="S28" s="215"/>
      <c r="T28" s="215"/>
      <c r="U28" s="232"/>
      <c r="V28" s="48">
        <f t="shared" si="1"/>
        <v>28</v>
      </c>
      <c r="Y28" s="164"/>
      <c r="AA28" s="192"/>
      <c r="AB28" s="192"/>
      <c r="AC28" s="192"/>
      <c r="AD28" s="192"/>
    </row>
    <row r="29" spans="1:30" ht="18" thickBot="1">
      <c r="A29" s="214"/>
      <c r="B29" s="215" t="s">
        <v>293</v>
      </c>
      <c r="C29" s="215"/>
      <c r="D29" s="215"/>
      <c r="E29" s="215"/>
      <c r="F29" s="215"/>
      <c r="G29" s="217"/>
      <c r="H29" s="230"/>
      <c r="I29" s="233"/>
      <c r="J29" s="5"/>
      <c r="K29" s="5"/>
      <c r="L29" s="5"/>
      <c r="M29" s="5"/>
      <c r="N29" s="5"/>
      <c r="O29" s="5"/>
      <c r="P29" s="5"/>
      <c r="Q29" s="5"/>
      <c r="R29" s="233"/>
      <c r="S29" s="5"/>
      <c r="T29" s="230"/>
      <c r="U29" s="229"/>
      <c r="V29" s="48">
        <f t="shared" si="1"/>
        <v>29</v>
      </c>
      <c r="Y29" s="164"/>
      <c r="Z29" s="234" t="s">
        <v>294</v>
      </c>
      <c r="AA29" s="234" t="s">
        <v>295</v>
      </c>
      <c r="AB29" s="192"/>
      <c r="AC29" s="192"/>
      <c r="AD29" s="192"/>
    </row>
    <row r="30" spans="1:30" ht="20.100000000000001" customHeight="1" thickBot="1">
      <c r="A30" s="214"/>
      <c r="B30" s="215"/>
      <c r="C30" s="215" t="s">
        <v>296</v>
      </c>
      <c r="D30" s="217"/>
      <c r="E30" s="215"/>
      <c r="F30" s="216"/>
      <c r="G30" s="217"/>
      <c r="H30" s="230"/>
      <c r="I30" s="235"/>
      <c r="J30" s="5"/>
      <c r="K30" s="5"/>
      <c r="L30" s="5"/>
      <c r="M30" s="5"/>
      <c r="N30" s="5"/>
      <c r="O30" s="5"/>
      <c r="P30" s="5"/>
      <c r="Q30" s="5"/>
      <c r="R30" s="335">
        <v>563</v>
      </c>
      <c r="S30" s="216" t="s">
        <v>297</v>
      </c>
      <c r="T30" s="230"/>
      <c r="U30" s="229"/>
      <c r="V30" s="48">
        <f t="shared" si="1"/>
        <v>30</v>
      </c>
      <c r="W30" s="199" t="str">
        <f>IF(R30="","未入力あり","✔")</f>
        <v>✔</v>
      </c>
      <c r="Y30" s="164"/>
      <c r="Z30" s="234">
        <v>0</v>
      </c>
      <c r="AA30" s="236">
        <v>1300</v>
      </c>
      <c r="AB30" s="192"/>
      <c r="AC30" s="192"/>
      <c r="AD30" s="192"/>
    </row>
    <row r="31" spans="1:30" ht="20.100000000000001" customHeight="1" thickBot="1">
      <c r="A31" s="214"/>
      <c r="B31" s="216"/>
      <c r="C31" s="215" t="s">
        <v>298</v>
      </c>
      <c r="D31" s="217"/>
      <c r="E31" s="215"/>
      <c r="F31" s="216"/>
      <c r="G31" s="217"/>
      <c r="H31" s="230"/>
      <c r="I31" s="235"/>
      <c r="J31" s="5"/>
      <c r="K31" s="5"/>
      <c r="L31" s="5"/>
      <c r="M31" s="5"/>
      <c r="N31" s="5"/>
      <c r="O31" s="5"/>
      <c r="P31" s="5"/>
      <c r="Q31" s="5"/>
      <c r="R31" s="335">
        <v>0</v>
      </c>
      <c r="S31" s="216" t="s">
        <v>297</v>
      </c>
      <c r="T31" s="230"/>
      <c r="U31" s="229"/>
      <c r="V31" s="48">
        <f t="shared" si="1"/>
        <v>31</v>
      </c>
      <c r="W31" s="199" t="str">
        <f>IF(R31="","未入力あり","✔")</f>
        <v>✔</v>
      </c>
      <c r="Y31" s="164"/>
      <c r="Z31" s="234">
        <v>0</v>
      </c>
      <c r="AA31" s="236">
        <v>40</v>
      </c>
      <c r="AB31" s="192"/>
      <c r="AC31" s="192"/>
      <c r="AD31" s="192"/>
    </row>
    <row r="32" spans="1:30" ht="20.100000000000001" customHeight="1" thickBot="1">
      <c r="A32" s="214"/>
      <c r="B32" s="216"/>
      <c r="C32" s="215" t="s">
        <v>299</v>
      </c>
      <c r="D32" s="217"/>
      <c r="E32" s="215"/>
      <c r="F32" s="216"/>
      <c r="G32" s="217"/>
      <c r="H32" s="230"/>
      <c r="I32" s="235"/>
      <c r="J32" s="5"/>
      <c r="K32" s="5"/>
      <c r="L32" s="5"/>
      <c r="M32" s="5"/>
      <c r="N32" s="5"/>
      <c r="O32" s="5"/>
      <c r="P32" s="5"/>
      <c r="Q32" s="5"/>
      <c r="R32" s="335">
        <v>549</v>
      </c>
      <c r="S32" s="216" t="s">
        <v>297</v>
      </c>
      <c r="T32" s="230"/>
      <c r="U32" s="229"/>
      <c r="V32" s="48">
        <f t="shared" si="1"/>
        <v>32</v>
      </c>
      <c r="W32" s="199" t="str">
        <f t="shared" ref="W32:W36" si="3">IF(R32="","未入力あり","✔")</f>
        <v>✔</v>
      </c>
      <c r="Y32" s="164"/>
      <c r="Z32" s="234">
        <v>0</v>
      </c>
      <c r="AA32" s="236">
        <v>1200</v>
      </c>
      <c r="AB32" s="192"/>
      <c r="AC32" s="192"/>
      <c r="AD32" s="192"/>
    </row>
    <row r="33" spans="1:30" ht="20.100000000000001" customHeight="1" thickBot="1">
      <c r="A33" s="214"/>
      <c r="B33" s="215"/>
      <c r="C33" s="215" t="s">
        <v>300</v>
      </c>
      <c r="D33" s="215"/>
      <c r="E33" s="215"/>
      <c r="F33" s="216"/>
      <c r="G33" s="217"/>
      <c r="H33" s="230"/>
      <c r="I33" s="235"/>
      <c r="J33" s="5"/>
      <c r="K33" s="5"/>
      <c r="L33" s="5"/>
      <c r="M33" s="5"/>
      <c r="N33" s="5"/>
      <c r="O33" s="5"/>
      <c r="P33" s="5"/>
      <c r="Q33" s="5"/>
      <c r="R33" s="335">
        <v>162</v>
      </c>
      <c r="S33" s="216" t="s">
        <v>297</v>
      </c>
      <c r="T33" s="230"/>
      <c r="U33" s="229"/>
      <c r="V33" s="48">
        <f t="shared" si="1"/>
        <v>33</v>
      </c>
      <c r="W33" s="199" t="str">
        <f t="shared" si="3"/>
        <v>✔</v>
      </c>
      <c r="Y33" s="164"/>
      <c r="Z33" s="234">
        <v>0</v>
      </c>
      <c r="AA33" s="236">
        <v>420.34195260145873</v>
      </c>
      <c r="AB33" s="192"/>
      <c r="AC33" s="192"/>
      <c r="AD33" s="192"/>
    </row>
    <row r="34" spans="1:30" ht="19.5" customHeight="1" thickBot="1">
      <c r="A34" s="214"/>
      <c r="B34" s="216"/>
      <c r="C34" s="237" t="s">
        <v>301</v>
      </c>
      <c r="D34" s="237"/>
      <c r="E34" s="237"/>
      <c r="F34" s="238"/>
      <c r="G34" s="237"/>
      <c r="H34" s="230"/>
      <c r="I34" s="235"/>
      <c r="J34" s="5"/>
      <c r="K34" s="5"/>
      <c r="L34" s="5"/>
      <c r="M34" s="5"/>
      <c r="N34" s="5"/>
      <c r="O34" s="5"/>
      <c r="P34" s="5"/>
      <c r="Q34" s="5"/>
      <c r="R34" s="335">
        <v>12</v>
      </c>
      <c r="S34" s="216" t="s">
        <v>297</v>
      </c>
      <c r="T34" s="230"/>
      <c r="U34" s="229"/>
      <c r="V34" s="48">
        <f t="shared" si="1"/>
        <v>34</v>
      </c>
      <c r="W34" s="199" t="str">
        <f t="shared" si="3"/>
        <v>✔</v>
      </c>
      <c r="Y34" s="164"/>
      <c r="Z34" s="234">
        <v>0</v>
      </c>
      <c r="AA34" s="239">
        <v>100</v>
      </c>
      <c r="AB34" s="192"/>
      <c r="AC34" s="192"/>
      <c r="AD34" s="192"/>
    </row>
    <row r="35" spans="1:30" ht="18" customHeight="1" thickBot="1">
      <c r="A35" s="214"/>
      <c r="B35" s="215" t="s">
        <v>302</v>
      </c>
      <c r="C35" s="237"/>
      <c r="D35" s="237"/>
      <c r="E35" s="237"/>
      <c r="F35" s="238"/>
      <c r="G35" s="237"/>
      <c r="H35" s="230"/>
      <c r="I35" s="235"/>
      <c r="J35" s="5"/>
      <c r="K35" s="5"/>
      <c r="L35" s="5"/>
      <c r="M35" s="5"/>
      <c r="N35" s="5"/>
      <c r="O35" s="5"/>
      <c r="P35" s="5"/>
      <c r="Q35" s="5"/>
      <c r="R35" s="335">
        <v>20</v>
      </c>
      <c r="S35" s="216" t="s">
        <v>297</v>
      </c>
      <c r="T35" s="230"/>
      <c r="U35" s="229"/>
      <c r="V35" s="48">
        <v>37</v>
      </c>
      <c r="W35" s="199" t="str">
        <f>IF(R35="","未入力あり","✔")</f>
        <v>✔</v>
      </c>
      <c r="Y35" s="164"/>
      <c r="Z35" s="234">
        <v>0</v>
      </c>
      <c r="AA35" s="239">
        <v>100</v>
      </c>
      <c r="AB35" s="192"/>
      <c r="AC35" s="192"/>
      <c r="AD35" s="192"/>
    </row>
    <row r="36" spans="1:30" ht="47.25" customHeight="1" thickBot="1">
      <c r="A36" s="214" t="s">
        <v>303</v>
      </c>
      <c r="B36" s="215"/>
      <c r="C36" s="215"/>
      <c r="D36" s="215"/>
      <c r="E36" s="215"/>
      <c r="F36" s="216"/>
      <c r="G36" s="217"/>
      <c r="H36" s="217"/>
      <c r="I36" s="217"/>
      <c r="J36" s="217"/>
      <c r="K36" s="240"/>
      <c r="L36" s="240"/>
      <c r="M36" s="240"/>
      <c r="N36" s="240"/>
      <c r="O36" s="240"/>
      <c r="P36" s="240"/>
      <c r="Q36" s="241" t="s">
        <v>304</v>
      </c>
      <c r="R36" s="335">
        <v>814</v>
      </c>
      <c r="S36" s="216" t="s">
        <v>305</v>
      </c>
      <c r="T36" s="216"/>
      <c r="U36" s="229"/>
      <c r="V36" s="48">
        <f t="shared" si="1"/>
        <v>36</v>
      </c>
      <c r="W36" s="199" t="str">
        <f t="shared" si="3"/>
        <v>✔</v>
      </c>
      <c r="Y36" s="164"/>
      <c r="Z36" s="242">
        <v>0</v>
      </c>
      <c r="AA36" s="242">
        <v>3000</v>
      </c>
      <c r="AB36" s="192"/>
      <c r="AC36" s="192"/>
      <c r="AD36" s="192"/>
    </row>
    <row r="37" spans="1:30" ht="51.75" customHeight="1">
      <c r="A37" s="214"/>
      <c r="B37" s="216"/>
      <c r="C37" s="215"/>
      <c r="D37" s="1220" t="s">
        <v>306</v>
      </c>
      <c r="E37" s="1221"/>
      <c r="F37" s="1221"/>
      <c r="G37" s="1221"/>
      <c r="H37" s="1221"/>
      <c r="I37" s="1221"/>
      <c r="J37" s="1221"/>
      <c r="K37" s="1221"/>
      <c r="L37" s="1221"/>
      <c r="M37" s="1221"/>
      <c r="N37" s="1221"/>
      <c r="O37" s="1221"/>
      <c r="P37" s="1221"/>
      <c r="Q37" s="1221"/>
      <c r="R37" s="1221"/>
      <c r="S37" s="1221"/>
      <c r="T37" s="1221"/>
      <c r="U37" s="229"/>
      <c r="V37" s="48">
        <f t="shared" si="1"/>
        <v>37</v>
      </c>
      <c r="Y37" s="164"/>
    </row>
    <row r="38" spans="1:30" ht="20.100000000000001" customHeight="1">
      <c r="A38" s="214"/>
      <c r="B38" s="215"/>
      <c r="C38" s="215"/>
      <c r="D38" s="215"/>
      <c r="E38" s="215"/>
      <c r="F38" s="216"/>
      <c r="G38" s="217"/>
      <c r="H38" s="230"/>
      <c r="I38" s="235"/>
      <c r="J38" s="5"/>
      <c r="K38" s="5"/>
      <c r="L38" s="5"/>
      <c r="M38" s="5"/>
      <c r="N38" s="5"/>
      <c r="O38" s="5"/>
      <c r="P38" s="5"/>
      <c r="Q38" s="5"/>
      <c r="R38" s="235"/>
      <c r="S38" s="5"/>
      <c r="T38" s="216"/>
      <c r="U38" s="229"/>
      <c r="V38" s="48">
        <f t="shared" si="1"/>
        <v>38</v>
      </c>
      <c r="Y38" s="164"/>
      <c r="Z38" s="192"/>
      <c r="AA38" s="192"/>
      <c r="AB38" s="192"/>
      <c r="AC38" s="192"/>
      <c r="AD38" s="192"/>
    </row>
    <row r="39" spans="1:30" ht="20.100000000000001" customHeight="1">
      <c r="A39" s="214"/>
      <c r="B39" s="215" t="s">
        <v>307</v>
      </c>
      <c r="C39" s="215"/>
      <c r="D39" s="215"/>
      <c r="E39" s="215"/>
      <c r="F39" s="216"/>
      <c r="G39" s="217"/>
      <c r="H39" s="230"/>
      <c r="I39" s="235"/>
      <c r="J39" s="5"/>
      <c r="K39" s="5"/>
      <c r="L39" s="5"/>
      <c r="M39" s="5"/>
      <c r="N39" s="5"/>
      <c r="O39" s="5"/>
      <c r="P39" s="5"/>
      <c r="Q39" s="5"/>
      <c r="R39" s="235"/>
      <c r="S39" s="5"/>
      <c r="T39" s="216"/>
      <c r="U39" s="229"/>
      <c r="V39" s="48">
        <f t="shared" si="1"/>
        <v>39</v>
      </c>
      <c r="Y39" s="164"/>
      <c r="Z39" s="192"/>
      <c r="AA39" s="192"/>
      <c r="AB39" s="192"/>
      <c r="AC39" s="192"/>
      <c r="AD39" s="192"/>
    </row>
    <row r="40" spans="1:30" ht="21.75" customHeight="1">
      <c r="A40" s="214"/>
      <c r="B40" s="216"/>
      <c r="C40" s="215"/>
      <c r="D40" s="215" t="s">
        <v>308</v>
      </c>
      <c r="E40" s="10"/>
      <c r="F40" s="10"/>
      <c r="G40" s="10"/>
      <c r="H40" s="10"/>
      <c r="I40" s="235" t="s">
        <v>309</v>
      </c>
      <c r="J40" s="233"/>
      <c r="K40" s="5"/>
      <c r="L40" s="5"/>
      <c r="M40" s="5"/>
      <c r="N40" s="5"/>
      <c r="O40" s="233"/>
      <c r="P40" s="233"/>
      <c r="Q40" s="233"/>
      <c r="R40" s="233" t="s">
        <v>310</v>
      </c>
      <c r="S40" s="45"/>
      <c r="T40" s="216"/>
      <c r="U40" s="229"/>
      <c r="V40" s="48">
        <f t="shared" si="1"/>
        <v>40</v>
      </c>
      <c r="Y40" s="164"/>
      <c r="Z40" s="192"/>
      <c r="AA40" s="192"/>
      <c r="AB40" s="192"/>
      <c r="AC40" s="192"/>
      <c r="AD40" s="192"/>
    </row>
    <row r="41" spans="1:30" ht="30" customHeight="1" thickBot="1">
      <c r="A41" s="214"/>
      <c r="B41" s="216"/>
      <c r="C41" s="215"/>
      <c r="D41" s="215"/>
      <c r="E41" s="45"/>
      <c r="F41" s="45"/>
      <c r="G41" s="45"/>
      <c r="H41" s="45"/>
      <c r="I41" s="243" t="s">
        <v>311</v>
      </c>
      <c r="J41" s="216"/>
      <c r="K41" s="5"/>
      <c r="L41" s="5"/>
      <c r="M41" s="5"/>
      <c r="N41" s="5"/>
      <c r="O41" s="230"/>
      <c r="P41" s="230"/>
      <c r="Q41" s="230"/>
      <c r="R41" s="244"/>
      <c r="S41" s="45"/>
      <c r="T41" s="45"/>
      <c r="U41" s="229"/>
      <c r="V41" s="48">
        <f t="shared" si="1"/>
        <v>41</v>
      </c>
      <c r="Y41" s="164"/>
      <c r="Z41" s="192"/>
      <c r="AA41" s="192"/>
      <c r="AB41" s="192"/>
      <c r="AC41" s="192"/>
      <c r="AD41" s="192"/>
    </row>
    <row r="42" spans="1:30" ht="20.100000000000001" customHeight="1" thickBot="1">
      <c r="A42" s="214"/>
      <c r="B42" s="215"/>
      <c r="C42" s="215" t="s">
        <v>312</v>
      </c>
      <c r="D42" s="215"/>
      <c r="E42" s="215"/>
      <c r="F42" s="216"/>
      <c r="G42" s="217"/>
      <c r="H42" s="230"/>
      <c r="I42" s="335">
        <v>70.599999999999994</v>
      </c>
      <c r="J42" s="216" t="s">
        <v>305</v>
      </c>
      <c r="K42" s="5"/>
      <c r="L42" s="5"/>
      <c r="M42" s="5"/>
      <c r="N42" s="5"/>
      <c r="O42" s="216"/>
      <c r="P42" s="216"/>
      <c r="Q42" s="216"/>
      <c r="R42" s="335">
        <v>111</v>
      </c>
      <c r="S42" s="216" t="s">
        <v>305</v>
      </c>
      <c r="T42" s="216"/>
      <c r="U42" s="229"/>
      <c r="V42" s="48">
        <f t="shared" si="1"/>
        <v>42</v>
      </c>
      <c r="W42" s="199" t="str">
        <f t="shared" ref="W42:W65" si="4">IF(OR(I42="",R42=""),"未入力あり","✔")</f>
        <v>✔</v>
      </c>
      <c r="Y42" s="164"/>
      <c r="Z42" s="242">
        <v>0</v>
      </c>
      <c r="AA42" s="242">
        <v>220</v>
      </c>
      <c r="AB42" s="242">
        <v>0</v>
      </c>
      <c r="AC42" s="242">
        <v>700</v>
      </c>
      <c r="AD42" s="192"/>
    </row>
    <row r="43" spans="1:30" ht="20.100000000000001" customHeight="1" thickBot="1">
      <c r="A43" s="214"/>
      <c r="B43" s="215"/>
      <c r="C43" s="215" t="s">
        <v>313</v>
      </c>
      <c r="D43" s="215"/>
      <c r="E43" s="215"/>
      <c r="F43" s="216"/>
      <c r="G43" s="217"/>
      <c r="H43" s="230"/>
      <c r="I43" s="335">
        <v>1.8</v>
      </c>
      <c r="J43" s="216" t="s">
        <v>305</v>
      </c>
      <c r="K43" s="5"/>
      <c r="L43" s="5"/>
      <c r="M43" s="5"/>
      <c r="N43" s="5"/>
      <c r="O43" s="216"/>
      <c r="P43" s="216"/>
      <c r="Q43" s="216"/>
      <c r="R43" s="335">
        <v>3</v>
      </c>
      <c r="S43" s="216" t="s">
        <v>305</v>
      </c>
      <c r="T43" s="216"/>
      <c r="U43" s="229"/>
      <c r="V43" s="48">
        <f t="shared" si="1"/>
        <v>43</v>
      </c>
      <c r="W43" s="199" t="str">
        <f t="shared" si="4"/>
        <v>✔</v>
      </c>
      <c r="Y43" s="164"/>
      <c r="Z43" s="242">
        <v>0</v>
      </c>
      <c r="AA43" s="242">
        <v>30</v>
      </c>
      <c r="AB43" s="242">
        <v>0</v>
      </c>
      <c r="AC43" s="242">
        <v>70</v>
      </c>
      <c r="AD43" s="192"/>
    </row>
    <row r="44" spans="1:30" ht="20.100000000000001" customHeight="1" thickBot="1">
      <c r="A44" s="214"/>
      <c r="B44" s="215"/>
      <c r="C44" s="215" t="s">
        <v>314</v>
      </c>
      <c r="D44" s="215"/>
      <c r="E44" s="215"/>
      <c r="F44" s="216"/>
      <c r="G44" s="217"/>
      <c r="H44" s="230"/>
      <c r="I44" s="335">
        <v>12</v>
      </c>
      <c r="J44" s="216" t="s">
        <v>305</v>
      </c>
      <c r="K44" s="216"/>
      <c r="L44" s="216"/>
      <c r="M44" s="216"/>
      <c r="N44" s="216"/>
      <c r="O44" s="216"/>
      <c r="P44" s="216"/>
      <c r="Q44" s="216"/>
      <c r="R44" s="335">
        <v>26</v>
      </c>
      <c r="S44" s="216" t="s">
        <v>305</v>
      </c>
      <c r="T44" s="216"/>
      <c r="U44" s="229"/>
      <c r="V44" s="48">
        <f t="shared" si="1"/>
        <v>44</v>
      </c>
      <c r="W44" s="199" t="str">
        <f t="shared" si="4"/>
        <v>✔</v>
      </c>
      <c r="Y44" s="164"/>
      <c r="Z44" s="242">
        <v>0</v>
      </c>
      <c r="AA44" s="242">
        <v>10</v>
      </c>
      <c r="AB44" s="242">
        <v>0</v>
      </c>
      <c r="AC44" s="242">
        <v>100</v>
      </c>
      <c r="AD44" s="192"/>
    </row>
    <row r="45" spans="1:30" ht="20.100000000000001" customHeight="1" thickBot="1">
      <c r="A45" s="214"/>
      <c r="B45" s="215"/>
      <c r="C45" s="215" t="s">
        <v>315</v>
      </c>
      <c r="D45" s="215"/>
      <c r="E45" s="215"/>
      <c r="F45" s="216"/>
      <c r="G45" s="217"/>
      <c r="H45" s="230"/>
      <c r="I45" s="335">
        <v>0</v>
      </c>
      <c r="J45" s="216" t="s">
        <v>305</v>
      </c>
      <c r="K45" s="216"/>
      <c r="L45" s="216"/>
      <c r="M45" s="216"/>
      <c r="N45" s="216"/>
      <c r="O45" s="216"/>
      <c r="P45" s="216"/>
      <c r="Q45" s="216"/>
      <c r="R45" s="335">
        <v>0</v>
      </c>
      <c r="S45" s="216" t="s">
        <v>305</v>
      </c>
      <c r="T45" s="216"/>
      <c r="U45" s="229"/>
      <c r="V45" s="48">
        <f t="shared" si="1"/>
        <v>45</v>
      </c>
      <c r="W45" s="199" t="str">
        <f t="shared" si="4"/>
        <v>✔</v>
      </c>
      <c r="Y45" s="164"/>
      <c r="Z45" s="242">
        <v>0</v>
      </c>
      <c r="AA45" s="242">
        <v>10</v>
      </c>
      <c r="AB45" s="242">
        <v>0</v>
      </c>
      <c r="AC45" s="242">
        <v>50</v>
      </c>
      <c r="AD45" s="192"/>
    </row>
    <row r="46" spans="1:30" ht="20.100000000000001" customHeight="1" thickBot="1">
      <c r="A46" s="214"/>
      <c r="B46" s="215"/>
      <c r="C46" s="215" t="s">
        <v>316</v>
      </c>
      <c r="D46" s="215"/>
      <c r="E46" s="215"/>
      <c r="F46" s="216"/>
      <c r="G46" s="217"/>
      <c r="H46" s="230"/>
      <c r="I46" s="335">
        <v>4.2</v>
      </c>
      <c r="J46" s="216" t="s">
        <v>305</v>
      </c>
      <c r="K46" s="216"/>
      <c r="L46" s="216"/>
      <c r="M46" s="216"/>
      <c r="N46" s="216"/>
      <c r="O46" s="216"/>
      <c r="P46" s="216"/>
      <c r="Q46" s="216"/>
      <c r="R46" s="335">
        <v>45</v>
      </c>
      <c r="S46" s="216" t="s">
        <v>305</v>
      </c>
      <c r="T46" s="216"/>
      <c r="U46" s="229"/>
      <c r="V46" s="48">
        <f t="shared" si="1"/>
        <v>46</v>
      </c>
      <c r="W46" s="199" t="str">
        <f t="shared" si="4"/>
        <v>✔</v>
      </c>
      <c r="Y46" s="164"/>
      <c r="Z46" s="242">
        <v>0</v>
      </c>
      <c r="AA46" s="242">
        <v>10</v>
      </c>
      <c r="AB46" s="242">
        <v>0</v>
      </c>
      <c r="AC46" s="242">
        <v>90</v>
      </c>
      <c r="AD46" s="192"/>
    </row>
    <row r="47" spans="1:30" ht="20.100000000000001" customHeight="1" thickBot="1">
      <c r="A47" s="214"/>
      <c r="B47" s="215"/>
      <c r="C47" s="215" t="s">
        <v>317</v>
      </c>
      <c r="D47" s="215"/>
      <c r="E47" s="215"/>
      <c r="F47" s="216"/>
      <c r="G47" s="217"/>
      <c r="H47" s="230"/>
      <c r="I47" s="335">
        <v>67</v>
      </c>
      <c r="J47" s="216" t="s">
        <v>305</v>
      </c>
      <c r="K47" s="216"/>
      <c r="L47" s="216"/>
      <c r="M47" s="216"/>
      <c r="N47" s="216"/>
      <c r="O47" s="216"/>
      <c r="P47" s="216"/>
      <c r="Q47" s="216"/>
      <c r="R47" s="335">
        <v>481</v>
      </c>
      <c r="S47" s="216" t="s">
        <v>305</v>
      </c>
      <c r="T47" s="216"/>
      <c r="U47" s="229"/>
      <c r="V47" s="48">
        <f t="shared" si="1"/>
        <v>47</v>
      </c>
      <c r="W47" s="199" t="str">
        <f t="shared" si="4"/>
        <v>✔</v>
      </c>
      <c r="Y47" s="164"/>
      <c r="Z47" s="242">
        <v>0</v>
      </c>
      <c r="AA47" s="242">
        <v>70</v>
      </c>
      <c r="AB47" s="242">
        <v>0</v>
      </c>
      <c r="AC47" s="242">
        <v>1400</v>
      </c>
      <c r="AD47" s="192"/>
    </row>
    <row r="48" spans="1:30" ht="20.100000000000001" customHeight="1" thickBot="1">
      <c r="A48" s="214"/>
      <c r="B48" s="215"/>
      <c r="C48" s="215" t="s">
        <v>318</v>
      </c>
      <c r="D48" s="215"/>
      <c r="E48" s="215"/>
      <c r="F48" s="216"/>
      <c r="G48" s="217"/>
      <c r="H48" s="230"/>
      <c r="I48" s="335">
        <v>0</v>
      </c>
      <c r="J48" s="216" t="s">
        <v>305</v>
      </c>
      <c r="K48" s="216"/>
      <c r="L48" s="216"/>
      <c r="M48" s="216"/>
      <c r="N48" s="216"/>
      <c r="O48" s="216"/>
      <c r="P48" s="216"/>
      <c r="Q48" s="216"/>
      <c r="R48" s="335">
        <v>0</v>
      </c>
      <c r="S48" s="216" t="s">
        <v>305</v>
      </c>
      <c r="T48" s="216"/>
      <c r="U48" s="229"/>
      <c r="V48" s="48">
        <f t="shared" si="1"/>
        <v>48</v>
      </c>
      <c r="W48" s="199" t="str">
        <f t="shared" si="4"/>
        <v>✔</v>
      </c>
      <c r="Y48" s="164"/>
      <c r="Z48" s="242">
        <v>0</v>
      </c>
      <c r="AA48" s="242">
        <v>10</v>
      </c>
      <c r="AB48" s="242">
        <v>0</v>
      </c>
      <c r="AC48" s="242">
        <v>20</v>
      </c>
      <c r="AD48" s="192"/>
    </row>
    <row r="49" spans="1:30" ht="20.100000000000001" customHeight="1" thickBot="1">
      <c r="A49" s="214"/>
      <c r="B49" s="215"/>
      <c r="C49" s="215" t="s">
        <v>319</v>
      </c>
      <c r="D49" s="215"/>
      <c r="E49" s="215"/>
      <c r="F49" s="216"/>
      <c r="G49" s="217"/>
      <c r="H49" s="230"/>
      <c r="I49" s="335">
        <v>0</v>
      </c>
      <c r="J49" s="216" t="s">
        <v>305</v>
      </c>
      <c r="K49" s="216"/>
      <c r="L49" s="216"/>
      <c r="M49" s="216"/>
      <c r="N49" s="216"/>
      <c r="O49" s="216"/>
      <c r="P49" s="216"/>
      <c r="Q49" s="216"/>
      <c r="R49" s="335">
        <v>14</v>
      </c>
      <c r="S49" s="216" t="s">
        <v>305</v>
      </c>
      <c r="T49" s="216"/>
      <c r="U49" s="229"/>
      <c r="V49" s="48">
        <f t="shared" si="1"/>
        <v>49</v>
      </c>
      <c r="W49" s="199" t="str">
        <f t="shared" si="4"/>
        <v>✔</v>
      </c>
      <c r="Y49" s="164"/>
      <c r="Z49" s="242">
        <v>0</v>
      </c>
      <c r="AA49" s="242">
        <v>10</v>
      </c>
      <c r="AB49" s="242">
        <v>0</v>
      </c>
      <c r="AC49" s="242">
        <v>90</v>
      </c>
      <c r="AD49" s="192"/>
    </row>
    <row r="50" spans="1:30" ht="20.100000000000001" customHeight="1" thickBot="1">
      <c r="A50" s="214"/>
      <c r="B50" s="215"/>
      <c r="C50" s="215" t="s">
        <v>320</v>
      </c>
      <c r="D50" s="215"/>
      <c r="E50" s="215"/>
      <c r="F50" s="216"/>
      <c r="G50" s="217"/>
      <c r="H50" s="230"/>
      <c r="I50" s="335">
        <v>0</v>
      </c>
      <c r="J50" s="216" t="s">
        <v>305</v>
      </c>
      <c r="K50" s="216"/>
      <c r="L50" s="216"/>
      <c r="M50" s="216"/>
      <c r="N50" s="216"/>
      <c r="O50" s="216"/>
      <c r="P50" s="216"/>
      <c r="Q50" s="216"/>
      <c r="R50" s="335">
        <v>6</v>
      </c>
      <c r="S50" s="216" t="s">
        <v>305</v>
      </c>
      <c r="T50" s="216"/>
      <c r="U50" s="229"/>
      <c r="V50" s="48">
        <f t="shared" si="1"/>
        <v>50</v>
      </c>
      <c r="W50" s="199" t="str">
        <f t="shared" si="4"/>
        <v>✔</v>
      </c>
      <c r="Y50" s="164"/>
      <c r="Z50" s="242">
        <v>0</v>
      </c>
      <c r="AA50" s="242">
        <v>10</v>
      </c>
      <c r="AB50" s="242">
        <v>0</v>
      </c>
      <c r="AC50" s="242">
        <v>30</v>
      </c>
      <c r="AD50" s="192"/>
    </row>
    <row r="51" spans="1:30" ht="18" thickBot="1">
      <c r="A51" s="214"/>
      <c r="B51" s="215"/>
      <c r="C51" s="215" t="s">
        <v>321</v>
      </c>
      <c r="D51" s="215"/>
      <c r="E51" s="215"/>
      <c r="F51" s="216"/>
      <c r="G51" s="217"/>
      <c r="H51" s="230"/>
      <c r="I51" s="335">
        <v>0</v>
      </c>
      <c r="J51" s="216" t="s">
        <v>305</v>
      </c>
      <c r="K51" s="216"/>
      <c r="L51" s="216"/>
      <c r="M51" s="216"/>
      <c r="N51" s="216"/>
      <c r="O51" s="216"/>
      <c r="P51" s="216"/>
      <c r="Q51" s="216"/>
      <c r="R51" s="335">
        <v>2</v>
      </c>
      <c r="S51" s="216" t="s">
        <v>305</v>
      </c>
      <c r="T51" s="216"/>
      <c r="U51" s="229"/>
      <c r="V51" s="48">
        <f t="shared" si="1"/>
        <v>51</v>
      </c>
      <c r="W51" s="199" t="str">
        <f t="shared" si="4"/>
        <v>✔</v>
      </c>
      <c r="Y51" s="164"/>
      <c r="Z51" s="242">
        <v>0</v>
      </c>
      <c r="AA51" s="242">
        <v>10</v>
      </c>
      <c r="AB51" s="242">
        <v>0</v>
      </c>
      <c r="AC51" s="242">
        <v>20</v>
      </c>
      <c r="AD51" s="192"/>
    </row>
    <row r="52" spans="1:30" ht="20.100000000000001" customHeight="1" thickBot="1">
      <c r="A52" s="214"/>
      <c r="B52" s="215"/>
      <c r="C52" s="215" t="s">
        <v>322</v>
      </c>
      <c r="D52" s="215"/>
      <c r="E52" s="215"/>
      <c r="F52" s="216"/>
      <c r="G52" s="217"/>
      <c r="H52" s="230"/>
      <c r="I52" s="335">
        <v>0.8</v>
      </c>
      <c r="J52" s="216" t="s">
        <v>305</v>
      </c>
      <c r="K52" s="216"/>
      <c r="L52" s="216"/>
      <c r="M52" s="216"/>
      <c r="N52" s="216"/>
      <c r="O52" s="216"/>
      <c r="P52" s="216"/>
      <c r="Q52" s="216"/>
      <c r="R52" s="335">
        <v>2</v>
      </c>
      <c r="S52" s="216" t="s">
        <v>305</v>
      </c>
      <c r="T52" s="216"/>
      <c r="U52" s="229"/>
      <c r="V52" s="48">
        <f t="shared" si="1"/>
        <v>52</v>
      </c>
      <c r="W52" s="199" t="str">
        <f t="shared" si="4"/>
        <v>✔</v>
      </c>
      <c r="Y52" s="164"/>
      <c r="Z52" s="242">
        <v>0</v>
      </c>
      <c r="AA52" s="242">
        <v>10</v>
      </c>
      <c r="AB52" s="242">
        <v>0</v>
      </c>
      <c r="AC52" s="242">
        <v>20</v>
      </c>
      <c r="AD52" s="192"/>
    </row>
    <row r="53" spans="1:30" ht="20.100000000000001" customHeight="1" thickBot="1">
      <c r="A53" s="214"/>
      <c r="B53" s="215"/>
      <c r="C53" s="215" t="s">
        <v>323</v>
      </c>
      <c r="D53" s="215"/>
      <c r="E53" s="215"/>
      <c r="F53" s="216"/>
      <c r="G53" s="217"/>
      <c r="H53" s="230"/>
      <c r="I53" s="335">
        <v>0</v>
      </c>
      <c r="J53" s="216" t="s">
        <v>305</v>
      </c>
      <c r="K53" s="216"/>
      <c r="L53" s="216"/>
      <c r="M53" s="216"/>
      <c r="N53" s="216"/>
      <c r="O53" s="216"/>
      <c r="P53" s="216"/>
      <c r="Q53" s="216"/>
      <c r="R53" s="335">
        <v>0</v>
      </c>
      <c r="S53" s="216" t="s">
        <v>305</v>
      </c>
      <c r="T53" s="216"/>
      <c r="U53" s="229"/>
      <c r="V53" s="48">
        <f t="shared" si="1"/>
        <v>53</v>
      </c>
      <c r="W53" s="199" t="str">
        <f>IF(OR(I53="",R53=""),"未入力あり","✔")</f>
        <v>✔</v>
      </c>
      <c r="Y53" s="164"/>
      <c r="Z53" s="242">
        <v>0</v>
      </c>
      <c r="AA53" s="242">
        <v>10</v>
      </c>
      <c r="AB53" s="242">
        <v>0</v>
      </c>
      <c r="AC53" s="242">
        <v>10</v>
      </c>
      <c r="AD53" s="192"/>
    </row>
    <row r="54" spans="1:30" ht="20.100000000000001" customHeight="1" thickBot="1">
      <c r="A54" s="214"/>
      <c r="B54" s="215"/>
      <c r="C54" s="215" t="s">
        <v>324</v>
      </c>
      <c r="D54" s="215"/>
      <c r="E54" s="215"/>
      <c r="F54" s="216"/>
      <c r="G54" s="217"/>
      <c r="H54" s="230"/>
      <c r="I54" s="335">
        <v>4</v>
      </c>
      <c r="J54" s="216" t="s">
        <v>305</v>
      </c>
      <c r="K54" s="216"/>
      <c r="L54" s="216"/>
      <c r="M54" s="216"/>
      <c r="N54" s="216"/>
      <c r="O54" s="216"/>
      <c r="P54" s="216"/>
      <c r="Q54" s="216"/>
      <c r="R54" s="335">
        <v>1</v>
      </c>
      <c r="S54" s="216" t="s">
        <v>305</v>
      </c>
      <c r="T54" s="216"/>
      <c r="U54" s="229"/>
      <c r="V54" s="48">
        <f t="shared" si="1"/>
        <v>54</v>
      </c>
      <c r="W54" s="199" t="str">
        <f t="shared" si="4"/>
        <v>✔</v>
      </c>
      <c r="Y54" s="164"/>
      <c r="Z54" s="242">
        <v>0</v>
      </c>
      <c r="AA54" s="242">
        <v>10</v>
      </c>
      <c r="AB54" s="242">
        <v>0</v>
      </c>
      <c r="AC54" s="242">
        <v>20</v>
      </c>
      <c r="AD54" s="192"/>
    </row>
    <row r="55" spans="1:30" ht="20.100000000000001" customHeight="1" thickBot="1">
      <c r="A55" s="214"/>
      <c r="B55" s="215"/>
      <c r="C55" s="215" t="s">
        <v>325</v>
      </c>
      <c r="D55" s="215"/>
      <c r="E55" s="215"/>
      <c r="F55" s="216"/>
      <c r="G55" s="217"/>
      <c r="H55" s="230"/>
      <c r="I55" s="335">
        <v>0</v>
      </c>
      <c r="J55" s="216" t="s">
        <v>305</v>
      </c>
      <c r="K55" s="216"/>
      <c r="L55" s="216"/>
      <c r="M55" s="216"/>
      <c r="N55" s="216"/>
      <c r="O55" s="216"/>
      <c r="P55" s="216"/>
      <c r="Q55" s="216"/>
      <c r="R55" s="335">
        <v>0</v>
      </c>
      <c r="S55" s="216" t="s">
        <v>305</v>
      </c>
      <c r="T55" s="216"/>
      <c r="U55" s="229"/>
      <c r="V55" s="48">
        <f t="shared" si="1"/>
        <v>55</v>
      </c>
      <c r="W55" s="199" t="str">
        <f t="shared" si="4"/>
        <v>✔</v>
      </c>
      <c r="Y55" s="164"/>
      <c r="Z55" s="242">
        <v>0</v>
      </c>
      <c r="AA55" s="242">
        <v>10</v>
      </c>
      <c r="AB55" s="242">
        <v>0</v>
      </c>
      <c r="AC55" s="242">
        <v>10</v>
      </c>
      <c r="AD55" s="192"/>
    </row>
    <row r="56" spans="1:30" ht="20.100000000000001" customHeight="1" thickBot="1">
      <c r="A56" s="214"/>
      <c r="B56" s="215"/>
      <c r="C56" s="215" t="s">
        <v>326</v>
      </c>
      <c r="D56" s="215"/>
      <c r="E56" s="215"/>
      <c r="F56" s="216"/>
      <c r="G56" s="217"/>
      <c r="H56" s="230"/>
      <c r="I56" s="335">
        <v>2.2000000000000002</v>
      </c>
      <c r="J56" s="216" t="s">
        <v>305</v>
      </c>
      <c r="K56" s="216"/>
      <c r="L56" s="216"/>
      <c r="M56" s="216"/>
      <c r="N56" s="216"/>
      <c r="O56" s="216"/>
      <c r="P56" s="216"/>
      <c r="Q56" s="216"/>
      <c r="R56" s="335">
        <v>25</v>
      </c>
      <c r="S56" s="216" t="s">
        <v>305</v>
      </c>
      <c r="T56" s="216"/>
      <c r="U56" s="229"/>
      <c r="V56" s="48">
        <f t="shared" si="1"/>
        <v>56</v>
      </c>
      <c r="W56" s="199" t="str">
        <f t="shared" si="4"/>
        <v>✔</v>
      </c>
      <c r="Y56" s="164"/>
      <c r="Z56" s="242">
        <v>0</v>
      </c>
      <c r="AA56" s="242">
        <v>10</v>
      </c>
      <c r="AB56" s="242">
        <v>0</v>
      </c>
      <c r="AC56" s="242">
        <v>80</v>
      </c>
      <c r="AD56" s="192"/>
    </row>
    <row r="57" spans="1:30" ht="20.100000000000001" customHeight="1" thickBot="1">
      <c r="A57" s="214"/>
      <c r="B57" s="215"/>
      <c r="C57" s="215" t="s">
        <v>327</v>
      </c>
      <c r="D57" s="215"/>
      <c r="E57" s="215"/>
      <c r="F57" s="216"/>
      <c r="G57" s="217"/>
      <c r="H57" s="230"/>
      <c r="I57" s="335">
        <v>12.3</v>
      </c>
      <c r="J57" s="216" t="s">
        <v>305</v>
      </c>
      <c r="K57" s="216"/>
      <c r="L57" s="216"/>
      <c r="M57" s="216"/>
      <c r="N57" s="216"/>
      <c r="O57" s="216"/>
      <c r="P57" s="216"/>
      <c r="Q57" s="216"/>
      <c r="R57" s="335">
        <v>30</v>
      </c>
      <c r="S57" s="216" t="s">
        <v>305</v>
      </c>
      <c r="T57" s="216"/>
      <c r="U57" s="229"/>
      <c r="V57" s="48">
        <f t="shared" si="1"/>
        <v>57</v>
      </c>
      <c r="W57" s="199" t="str">
        <f t="shared" si="4"/>
        <v>✔</v>
      </c>
      <c r="Y57" s="164"/>
      <c r="Z57" s="242">
        <v>0</v>
      </c>
      <c r="AA57" s="242">
        <v>20</v>
      </c>
      <c r="AB57" s="242">
        <v>0</v>
      </c>
      <c r="AC57" s="242">
        <v>120</v>
      </c>
      <c r="AD57" s="192"/>
    </row>
    <row r="58" spans="1:30" ht="20.100000000000001" customHeight="1" thickBot="1">
      <c r="A58" s="214"/>
      <c r="B58" s="215"/>
      <c r="C58" s="215" t="s">
        <v>328</v>
      </c>
      <c r="D58" s="215"/>
      <c r="E58" s="215"/>
      <c r="F58" s="216"/>
      <c r="G58" s="217"/>
      <c r="H58" s="230"/>
      <c r="I58" s="335">
        <v>0</v>
      </c>
      <c r="J58" s="216" t="s">
        <v>305</v>
      </c>
      <c r="K58" s="216"/>
      <c r="L58" s="216"/>
      <c r="M58" s="216"/>
      <c r="N58" s="216"/>
      <c r="O58" s="216"/>
      <c r="P58" s="216"/>
      <c r="Q58" s="216"/>
      <c r="R58" s="335">
        <v>0</v>
      </c>
      <c r="S58" s="216" t="s">
        <v>305</v>
      </c>
      <c r="T58" s="216"/>
      <c r="U58" s="229"/>
      <c r="V58" s="48">
        <f t="shared" si="1"/>
        <v>58</v>
      </c>
      <c r="W58" s="199" t="str">
        <f t="shared" si="4"/>
        <v>✔</v>
      </c>
      <c r="Y58" s="164"/>
      <c r="Z58" s="242">
        <v>0</v>
      </c>
      <c r="AA58" s="242">
        <v>10</v>
      </c>
      <c r="AB58" s="242">
        <v>0</v>
      </c>
      <c r="AC58" s="242">
        <v>10</v>
      </c>
      <c r="AD58" s="192"/>
    </row>
    <row r="59" spans="1:30" ht="20.100000000000001" customHeight="1" thickBot="1">
      <c r="A59" s="214"/>
      <c r="B59" s="215"/>
      <c r="C59" s="215" t="s">
        <v>329</v>
      </c>
      <c r="D59" s="215"/>
      <c r="E59" s="215"/>
      <c r="F59" s="216"/>
      <c r="G59" s="217"/>
      <c r="H59" s="230"/>
      <c r="I59" s="335">
        <v>0.8</v>
      </c>
      <c r="J59" s="216" t="s">
        <v>305</v>
      </c>
      <c r="K59" s="216"/>
      <c r="L59" s="216"/>
      <c r="M59" s="216"/>
      <c r="N59" s="216"/>
      <c r="O59" s="216"/>
      <c r="P59" s="216"/>
      <c r="Q59" s="216"/>
      <c r="R59" s="335">
        <v>6</v>
      </c>
      <c r="S59" s="216" t="s">
        <v>305</v>
      </c>
      <c r="T59" s="216"/>
      <c r="U59" s="229"/>
      <c r="V59" s="48">
        <f t="shared" si="1"/>
        <v>59</v>
      </c>
      <c r="W59" s="199" t="str">
        <f t="shared" si="4"/>
        <v>✔</v>
      </c>
      <c r="Y59" s="164"/>
      <c r="Z59" s="242">
        <v>0</v>
      </c>
      <c r="AA59" s="242">
        <v>10</v>
      </c>
      <c r="AB59" s="242">
        <v>0</v>
      </c>
      <c r="AC59" s="242">
        <v>50</v>
      </c>
      <c r="AD59" s="192"/>
    </row>
    <row r="60" spans="1:30" ht="20.100000000000001" customHeight="1" thickBot="1">
      <c r="A60" s="214"/>
      <c r="B60" s="215"/>
      <c r="C60" s="215" t="s">
        <v>330</v>
      </c>
      <c r="D60" s="215"/>
      <c r="E60" s="215"/>
      <c r="F60" s="216"/>
      <c r="G60" s="217"/>
      <c r="H60" s="230"/>
      <c r="I60" s="335">
        <v>5.5</v>
      </c>
      <c r="J60" s="216" t="s">
        <v>305</v>
      </c>
      <c r="K60" s="216"/>
      <c r="L60" s="216"/>
      <c r="M60" s="216"/>
      <c r="N60" s="216"/>
      <c r="O60" s="216"/>
      <c r="P60" s="216"/>
      <c r="Q60" s="216"/>
      <c r="R60" s="335">
        <v>5</v>
      </c>
      <c r="S60" s="216" t="s">
        <v>305</v>
      </c>
      <c r="T60" s="216"/>
      <c r="U60" s="229"/>
      <c r="V60" s="48">
        <f t="shared" si="1"/>
        <v>60</v>
      </c>
      <c r="W60" s="199" t="str">
        <f t="shared" si="4"/>
        <v>✔</v>
      </c>
      <c r="Y60" s="164"/>
      <c r="Z60" s="242">
        <v>0</v>
      </c>
      <c r="AA60" s="242">
        <v>10</v>
      </c>
      <c r="AB60" s="242">
        <v>0</v>
      </c>
      <c r="AC60" s="242">
        <v>30</v>
      </c>
      <c r="AD60" s="192"/>
    </row>
    <row r="61" spans="1:30" ht="18" thickBot="1">
      <c r="A61" s="214"/>
      <c r="B61" s="215"/>
      <c r="C61" s="215" t="s">
        <v>331</v>
      </c>
      <c r="D61" s="215"/>
      <c r="E61" s="215"/>
      <c r="F61" s="216"/>
      <c r="G61" s="217"/>
      <c r="H61" s="230"/>
      <c r="I61" s="335">
        <v>0</v>
      </c>
      <c r="J61" s="216" t="s">
        <v>305</v>
      </c>
      <c r="K61" s="216"/>
      <c r="L61" s="216"/>
      <c r="M61" s="216"/>
      <c r="N61" s="216"/>
      <c r="O61" s="216"/>
      <c r="P61" s="216"/>
      <c r="Q61" s="216"/>
      <c r="R61" s="335">
        <v>0</v>
      </c>
      <c r="S61" s="216" t="s">
        <v>305</v>
      </c>
      <c r="T61" s="216"/>
      <c r="U61" s="229"/>
      <c r="V61" s="48">
        <f t="shared" si="1"/>
        <v>61</v>
      </c>
      <c r="W61" s="199" t="str">
        <f t="shared" si="4"/>
        <v>✔</v>
      </c>
      <c r="Y61" s="164"/>
      <c r="Z61" s="242">
        <v>0</v>
      </c>
      <c r="AA61" s="242">
        <v>10</v>
      </c>
      <c r="AB61" s="242">
        <v>0</v>
      </c>
      <c r="AC61" s="242">
        <v>10</v>
      </c>
      <c r="AD61" s="192"/>
    </row>
    <row r="62" spans="1:30" ht="20.100000000000001" customHeight="1" thickBot="1">
      <c r="A62" s="214"/>
      <c r="B62" s="215"/>
      <c r="C62" s="215" t="s">
        <v>332</v>
      </c>
      <c r="D62" s="215"/>
      <c r="E62" s="215"/>
      <c r="F62" s="216"/>
      <c r="G62" s="217"/>
      <c r="H62" s="6"/>
      <c r="I62" s="335">
        <v>4.8</v>
      </c>
      <c r="J62" s="216" t="s">
        <v>305</v>
      </c>
      <c r="K62" s="216"/>
      <c r="L62" s="216"/>
      <c r="M62" s="216"/>
      <c r="N62" s="216"/>
      <c r="O62" s="216"/>
      <c r="P62" s="216"/>
      <c r="Q62" s="216"/>
      <c r="R62" s="335">
        <v>4</v>
      </c>
      <c r="S62" s="216" t="s">
        <v>305</v>
      </c>
      <c r="T62" s="216"/>
      <c r="U62" s="229"/>
      <c r="V62" s="48">
        <f t="shared" si="1"/>
        <v>62</v>
      </c>
      <c r="W62" s="199" t="str">
        <f t="shared" si="4"/>
        <v>✔</v>
      </c>
      <c r="Y62" s="164"/>
      <c r="Z62" s="242">
        <v>0</v>
      </c>
      <c r="AA62" s="242">
        <v>10</v>
      </c>
      <c r="AB62" s="242">
        <v>0</v>
      </c>
      <c r="AC62" s="242">
        <v>20</v>
      </c>
      <c r="AD62" s="192"/>
    </row>
    <row r="63" spans="1:30" ht="20.100000000000001" customHeight="1" thickBot="1">
      <c r="A63" s="214"/>
      <c r="B63" s="215"/>
      <c r="C63" s="215" t="s">
        <v>333</v>
      </c>
      <c r="D63" s="215"/>
      <c r="E63" s="215"/>
      <c r="F63" s="216"/>
      <c r="G63" s="217"/>
      <c r="H63" s="230"/>
      <c r="I63" s="335">
        <v>0</v>
      </c>
      <c r="J63" s="216" t="s">
        <v>305</v>
      </c>
      <c r="K63" s="216"/>
      <c r="L63" s="216"/>
      <c r="M63" s="216"/>
      <c r="N63" s="216"/>
      <c r="O63" s="216"/>
      <c r="P63" s="216"/>
      <c r="Q63" s="216"/>
      <c r="R63" s="335">
        <v>0</v>
      </c>
      <c r="S63" s="216" t="s">
        <v>305</v>
      </c>
      <c r="T63" s="216"/>
      <c r="U63" s="229"/>
      <c r="V63" s="48">
        <f t="shared" si="1"/>
        <v>63</v>
      </c>
      <c r="W63" s="199" t="str">
        <f t="shared" si="4"/>
        <v>✔</v>
      </c>
      <c r="Y63" s="164"/>
      <c r="Z63" s="242">
        <v>0</v>
      </c>
      <c r="AA63" s="242">
        <v>10</v>
      </c>
      <c r="AB63" s="242">
        <v>0</v>
      </c>
      <c r="AC63" s="242">
        <v>10</v>
      </c>
      <c r="AD63" s="192"/>
    </row>
    <row r="64" spans="1:30" ht="20.100000000000001" customHeight="1" thickBot="1">
      <c r="A64" s="214"/>
      <c r="B64" s="215"/>
      <c r="C64" s="215" t="s">
        <v>334</v>
      </c>
      <c r="D64" s="215"/>
      <c r="E64" s="215"/>
      <c r="F64" s="216"/>
      <c r="G64" s="217"/>
      <c r="H64" s="230"/>
      <c r="I64" s="335">
        <v>1.6</v>
      </c>
      <c r="J64" s="216" t="s">
        <v>305</v>
      </c>
      <c r="K64" s="216"/>
      <c r="L64" s="216"/>
      <c r="M64" s="216"/>
      <c r="N64" s="216"/>
      <c r="O64" s="216"/>
      <c r="P64" s="216"/>
      <c r="Q64" s="216"/>
      <c r="R64" s="335">
        <v>1</v>
      </c>
      <c r="S64" s="216" t="s">
        <v>305</v>
      </c>
      <c r="T64" s="216"/>
      <c r="U64" s="229"/>
      <c r="V64" s="48">
        <f t="shared" si="1"/>
        <v>64</v>
      </c>
      <c r="W64" s="199" t="str">
        <f t="shared" si="4"/>
        <v>✔</v>
      </c>
      <c r="Y64" s="164"/>
      <c r="Z64" s="242">
        <v>0</v>
      </c>
      <c r="AA64" s="242">
        <v>10</v>
      </c>
      <c r="AB64" s="242">
        <v>0</v>
      </c>
      <c r="AC64" s="242">
        <v>10</v>
      </c>
      <c r="AD64" s="192"/>
    </row>
    <row r="65" spans="1:30" ht="20.100000000000001" customHeight="1" thickBot="1">
      <c r="A65" s="214"/>
      <c r="B65" s="215"/>
      <c r="C65" s="215" t="s">
        <v>335</v>
      </c>
      <c r="D65" s="215"/>
      <c r="E65" s="215"/>
      <c r="F65" s="216"/>
      <c r="G65" s="217"/>
      <c r="H65" s="230"/>
      <c r="I65" s="335">
        <v>0</v>
      </c>
      <c r="J65" s="216" t="s">
        <v>305</v>
      </c>
      <c r="K65" s="216"/>
      <c r="L65" s="216"/>
      <c r="M65" s="216"/>
      <c r="N65" s="216"/>
      <c r="O65" s="216"/>
      <c r="P65" s="216"/>
      <c r="Q65" s="216"/>
      <c r="R65" s="335">
        <v>0</v>
      </c>
      <c r="S65" s="216" t="s">
        <v>305</v>
      </c>
      <c r="T65" s="216"/>
      <c r="U65" s="229"/>
      <c r="V65" s="48">
        <f t="shared" si="1"/>
        <v>65</v>
      </c>
      <c r="W65" s="199" t="str">
        <f t="shared" si="4"/>
        <v>✔</v>
      </c>
      <c r="Y65" s="164"/>
      <c r="Z65" s="242">
        <v>0</v>
      </c>
      <c r="AA65" s="242">
        <v>10</v>
      </c>
      <c r="AB65" s="242">
        <v>0</v>
      </c>
      <c r="AC65" s="242">
        <v>30</v>
      </c>
      <c r="AD65" s="192"/>
    </row>
    <row r="66" spans="1:30" ht="20.100000000000001" customHeight="1" thickBot="1">
      <c r="A66" s="214"/>
      <c r="B66" s="215"/>
      <c r="C66" s="215" t="s">
        <v>336</v>
      </c>
      <c r="D66" s="215"/>
      <c r="E66" s="215"/>
      <c r="F66" s="216"/>
      <c r="G66" s="217"/>
      <c r="H66" s="230"/>
      <c r="I66" s="335">
        <v>0</v>
      </c>
      <c r="J66" s="216" t="s">
        <v>305</v>
      </c>
      <c r="K66" s="216"/>
      <c r="L66" s="216"/>
      <c r="M66" s="216"/>
      <c r="N66" s="216"/>
      <c r="O66" s="216"/>
      <c r="P66" s="216"/>
      <c r="Q66" s="216"/>
      <c r="R66" s="335">
        <v>0</v>
      </c>
      <c r="S66" s="216" t="s">
        <v>305</v>
      </c>
      <c r="T66" s="216"/>
      <c r="U66" s="229"/>
      <c r="V66" s="48">
        <f t="shared" si="1"/>
        <v>66</v>
      </c>
      <c r="W66" s="199" t="str">
        <f t="shared" ref="W66" si="5">IF(OR(I66="",R66=""),"未入力あり","✔")</f>
        <v>✔</v>
      </c>
      <c r="Y66" s="164"/>
      <c r="Z66" s="242">
        <v>0</v>
      </c>
      <c r="AA66" s="239">
        <v>10</v>
      </c>
      <c r="AB66" s="242">
        <v>0</v>
      </c>
      <c r="AC66" s="239">
        <v>30</v>
      </c>
      <c r="AD66" s="192"/>
    </row>
    <row r="67" spans="1:30" ht="20.100000000000001" customHeight="1">
      <c r="A67" s="214"/>
      <c r="B67" s="215"/>
      <c r="C67" s="215"/>
      <c r="D67" s="215"/>
      <c r="E67" s="215"/>
      <c r="F67" s="216"/>
      <c r="G67" s="209"/>
      <c r="H67" s="230"/>
      <c r="I67" s="245"/>
      <c r="J67" s="5"/>
      <c r="K67" s="5"/>
      <c r="L67" s="5"/>
      <c r="M67" s="5"/>
      <c r="N67" s="5"/>
      <c r="O67" s="5"/>
      <c r="P67" s="5"/>
      <c r="Q67" s="5"/>
      <c r="S67" s="5"/>
      <c r="T67" s="216"/>
      <c r="U67" s="229"/>
      <c r="V67" s="48">
        <f t="shared" si="1"/>
        <v>67</v>
      </c>
      <c r="Y67" s="164"/>
      <c r="Z67" s="192"/>
      <c r="AA67" s="192"/>
      <c r="AB67" s="192"/>
      <c r="AC67" s="192"/>
      <c r="AD67" s="192"/>
    </row>
    <row r="68" spans="1:30" ht="17.25">
      <c r="A68" s="214"/>
      <c r="B68" s="215" t="s">
        <v>337</v>
      </c>
      <c r="C68" s="246"/>
      <c r="D68" s="247"/>
      <c r="E68" s="247"/>
      <c r="F68" s="247"/>
      <c r="G68" s="247"/>
      <c r="H68" s="247"/>
      <c r="I68" s="235" t="s">
        <v>338</v>
      </c>
      <c r="J68" s="215"/>
      <c r="K68" s="215"/>
      <c r="L68" s="215"/>
      <c r="M68" s="215"/>
      <c r="N68" s="215"/>
      <c r="O68" s="215"/>
      <c r="P68" s="215"/>
      <c r="Q68" s="215"/>
      <c r="R68" s="235" t="s">
        <v>339</v>
      </c>
      <c r="S68" s="5"/>
      <c r="T68" s="216"/>
      <c r="U68" s="229"/>
      <c r="V68" s="48">
        <f t="shared" si="1"/>
        <v>68</v>
      </c>
      <c r="Y68" s="164"/>
      <c r="Z68" s="192"/>
      <c r="AA68" s="192"/>
      <c r="AB68" s="192"/>
      <c r="AC68" s="192"/>
      <c r="AD68" s="192"/>
    </row>
    <row r="69" spans="1:30" ht="18" thickBot="1">
      <c r="A69" s="214"/>
      <c r="B69" s="215" t="s">
        <v>340</v>
      </c>
      <c r="C69" s="248"/>
      <c r="D69" s="249"/>
      <c r="E69" s="249"/>
      <c r="F69" s="249"/>
      <c r="G69" s="249"/>
      <c r="H69" s="250"/>
      <c r="I69" s="235" t="s">
        <v>341</v>
      </c>
      <c r="J69" s="5"/>
      <c r="K69" s="5"/>
      <c r="L69" s="5"/>
      <c r="M69" s="5"/>
      <c r="N69" s="5"/>
      <c r="O69" s="5"/>
      <c r="P69" s="5"/>
      <c r="Q69" s="5"/>
      <c r="R69" s="235"/>
      <c r="S69" s="5"/>
      <c r="T69" s="216"/>
      <c r="U69" s="229"/>
      <c r="V69" s="48">
        <f t="shared" si="1"/>
        <v>69</v>
      </c>
      <c r="Y69" s="164"/>
      <c r="Z69" s="192"/>
      <c r="AA69" s="192"/>
      <c r="AB69" s="192"/>
      <c r="AC69" s="192"/>
      <c r="AD69" s="192"/>
    </row>
    <row r="70" spans="1:30" ht="21" customHeight="1" thickBot="1">
      <c r="A70" s="214"/>
      <c r="B70" s="215"/>
      <c r="C70" s="251" t="s">
        <v>342</v>
      </c>
      <c r="D70" s="251"/>
      <c r="E70" s="251"/>
      <c r="F70" s="251"/>
      <c r="G70" s="252"/>
      <c r="H70" s="251"/>
      <c r="I70" s="335">
        <v>0</v>
      </c>
      <c r="J70" s="216" t="s">
        <v>305</v>
      </c>
      <c r="K70" s="216"/>
      <c r="L70" s="216"/>
      <c r="M70" s="216"/>
      <c r="N70" s="216"/>
      <c r="O70" s="216"/>
      <c r="P70" s="216"/>
      <c r="Q70" s="216"/>
      <c r="R70" s="335">
        <v>4</v>
      </c>
      <c r="S70" s="216" t="s">
        <v>343</v>
      </c>
      <c r="T70" s="216"/>
      <c r="U70" s="229"/>
      <c r="V70" s="48">
        <f t="shared" si="1"/>
        <v>70</v>
      </c>
      <c r="W70" s="199" t="str">
        <f t="shared" ref="W70:W101" si="6">IF(OR(I70="",R70=""),"未入力あり","✔")</f>
        <v>✔</v>
      </c>
      <c r="Y70" s="164"/>
      <c r="Z70" s="242">
        <v>0</v>
      </c>
      <c r="AA70" s="242">
        <v>30</v>
      </c>
      <c r="AB70" s="242">
        <v>0</v>
      </c>
      <c r="AC70" s="242">
        <v>30</v>
      </c>
      <c r="AD70" s="192"/>
    </row>
    <row r="71" spans="1:30" ht="21" customHeight="1" thickBot="1">
      <c r="A71" s="214"/>
      <c r="B71" s="215"/>
      <c r="C71" s="251" t="s">
        <v>344</v>
      </c>
      <c r="D71" s="251"/>
      <c r="E71" s="251"/>
      <c r="F71" s="251"/>
      <c r="G71" s="252"/>
      <c r="H71" s="251"/>
      <c r="I71" s="335">
        <v>0</v>
      </c>
      <c r="J71" s="216" t="s">
        <v>305</v>
      </c>
      <c r="K71" s="216"/>
      <c r="L71" s="216"/>
      <c r="M71" s="216"/>
      <c r="N71" s="216"/>
      <c r="O71" s="216"/>
      <c r="P71" s="216"/>
      <c r="Q71" s="216"/>
      <c r="R71" s="335">
        <v>4</v>
      </c>
      <c r="S71" s="216" t="s">
        <v>343</v>
      </c>
      <c r="T71" s="216"/>
      <c r="U71" s="229"/>
      <c r="V71" s="48">
        <f t="shared" si="1"/>
        <v>71</v>
      </c>
      <c r="W71" s="199" t="str">
        <f t="shared" si="6"/>
        <v>✔</v>
      </c>
      <c r="Y71" s="164"/>
      <c r="Z71" s="242">
        <v>0</v>
      </c>
      <c r="AA71" s="242">
        <v>30</v>
      </c>
      <c r="AB71" s="242">
        <v>0</v>
      </c>
      <c r="AC71" s="253">
        <v>30</v>
      </c>
      <c r="AD71" s="192"/>
    </row>
    <row r="72" spans="1:30" ht="21" customHeight="1" thickBot="1">
      <c r="A72" s="214"/>
      <c r="B72" s="215"/>
      <c r="C72" s="251" t="s">
        <v>345</v>
      </c>
      <c r="D72" s="251"/>
      <c r="E72" s="251"/>
      <c r="F72" s="251"/>
      <c r="G72" s="252"/>
      <c r="H72" s="251"/>
      <c r="I72" s="335">
        <v>0</v>
      </c>
      <c r="J72" s="216" t="s">
        <v>305</v>
      </c>
      <c r="K72" s="216"/>
      <c r="L72" s="216"/>
      <c r="M72" s="216"/>
      <c r="N72" s="216"/>
      <c r="O72" s="216"/>
      <c r="P72" s="216"/>
      <c r="Q72" s="216"/>
      <c r="R72" s="335">
        <v>1</v>
      </c>
      <c r="S72" s="216" t="s">
        <v>343</v>
      </c>
      <c r="T72" s="216"/>
      <c r="U72" s="229"/>
      <c r="V72" s="48">
        <f t="shared" si="1"/>
        <v>72</v>
      </c>
      <c r="W72" s="199" t="str">
        <f t="shared" si="6"/>
        <v>✔</v>
      </c>
      <c r="Y72" s="164"/>
      <c r="Z72" s="242">
        <v>0</v>
      </c>
      <c r="AA72" s="242">
        <v>30</v>
      </c>
      <c r="AB72" s="242">
        <v>0</v>
      </c>
      <c r="AC72" s="242">
        <v>30</v>
      </c>
      <c r="AD72" s="192"/>
    </row>
    <row r="73" spans="1:30" ht="21" customHeight="1" thickBot="1">
      <c r="A73" s="214"/>
      <c r="B73" s="215"/>
      <c r="C73" s="251" t="s">
        <v>346</v>
      </c>
      <c r="D73" s="251"/>
      <c r="E73" s="251"/>
      <c r="F73" s="251"/>
      <c r="G73" s="252"/>
      <c r="H73" s="251"/>
      <c r="I73" s="335">
        <v>0</v>
      </c>
      <c r="J73" s="216" t="s">
        <v>305</v>
      </c>
      <c r="K73" s="216"/>
      <c r="L73" s="216"/>
      <c r="M73" s="216"/>
      <c r="N73" s="216"/>
      <c r="O73" s="216"/>
      <c r="P73" s="216"/>
      <c r="Q73" s="216"/>
      <c r="R73" s="335">
        <v>2</v>
      </c>
      <c r="S73" s="216" t="s">
        <v>343</v>
      </c>
      <c r="T73" s="216"/>
      <c r="U73" s="229"/>
      <c r="V73" s="48">
        <f t="shared" si="1"/>
        <v>73</v>
      </c>
      <c r="W73" s="199" t="str">
        <f t="shared" ref="W73" si="7">IF(OR(I73="",R73=""),"未入力あり","✔")</f>
        <v>✔</v>
      </c>
      <c r="Y73" s="164"/>
      <c r="Z73" s="242">
        <v>0</v>
      </c>
      <c r="AA73" s="242">
        <v>30</v>
      </c>
      <c r="AB73" s="242">
        <v>0</v>
      </c>
      <c r="AC73" s="242">
        <v>30</v>
      </c>
      <c r="AD73" s="192"/>
    </row>
    <row r="74" spans="1:30" ht="21" customHeight="1" thickBot="1">
      <c r="A74" s="214"/>
      <c r="B74" s="215"/>
      <c r="C74" s="251" t="s">
        <v>347</v>
      </c>
      <c r="D74" s="251"/>
      <c r="E74" s="251"/>
      <c r="F74" s="251"/>
      <c r="G74" s="252"/>
      <c r="H74" s="251"/>
      <c r="I74" s="335">
        <v>0</v>
      </c>
      <c r="J74" s="216" t="s">
        <v>305</v>
      </c>
      <c r="K74" s="216"/>
      <c r="L74" s="216"/>
      <c r="M74" s="216"/>
      <c r="N74" s="216"/>
      <c r="O74" s="216"/>
      <c r="P74" s="216"/>
      <c r="Q74" s="216"/>
      <c r="R74" s="335">
        <v>9</v>
      </c>
      <c r="S74" s="216" t="s">
        <v>343</v>
      </c>
      <c r="T74" s="216"/>
      <c r="U74" s="229"/>
      <c r="V74" s="48">
        <f t="shared" si="1"/>
        <v>74</v>
      </c>
      <c r="W74" s="199" t="str">
        <f t="shared" si="6"/>
        <v>✔</v>
      </c>
      <c r="Y74" s="164"/>
      <c r="Z74" s="242">
        <v>0</v>
      </c>
      <c r="AA74" s="242">
        <v>30</v>
      </c>
      <c r="AB74" s="242">
        <v>0</v>
      </c>
      <c r="AC74" s="253">
        <v>60</v>
      </c>
      <c r="AD74" s="192"/>
    </row>
    <row r="75" spans="1:30" ht="21" customHeight="1" thickBot="1">
      <c r="A75" s="214"/>
      <c r="B75" s="215"/>
      <c r="C75" s="254" t="s">
        <v>348</v>
      </c>
      <c r="D75" s="254"/>
      <c r="E75" s="254"/>
      <c r="F75" s="255"/>
      <c r="G75" s="256"/>
      <c r="H75" s="257"/>
      <c r="I75" s="335">
        <v>0</v>
      </c>
      <c r="J75" s="216" t="s">
        <v>305</v>
      </c>
      <c r="K75" s="216"/>
      <c r="L75" s="216"/>
      <c r="M75" s="216"/>
      <c r="N75" s="216"/>
      <c r="O75" s="216"/>
      <c r="P75" s="216"/>
      <c r="Q75" s="216"/>
      <c r="R75" s="335">
        <v>4</v>
      </c>
      <c r="S75" s="216" t="s">
        <v>305</v>
      </c>
      <c r="T75" s="216"/>
      <c r="U75" s="229"/>
      <c r="V75" s="48">
        <f t="shared" si="1"/>
        <v>75</v>
      </c>
      <c r="W75" s="199" t="str">
        <f t="shared" si="6"/>
        <v>✔</v>
      </c>
      <c r="Y75" s="164"/>
      <c r="Z75" s="242">
        <v>0</v>
      </c>
      <c r="AA75" s="242">
        <v>30</v>
      </c>
      <c r="AB75" s="242">
        <v>0</v>
      </c>
      <c r="AC75" s="242">
        <v>30</v>
      </c>
      <c r="AD75" s="192"/>
    </row>
    <row r="76" spans="1:30" ht="21" customHeight="1" thickBot="1">
      <c r="A76" s="214"/>
      <c r="B76" s="215"/>
      <c r="C76" s="254" t="s">
        <v>349</v>
      </c>
      <c r="D76" s="251"/>
      <c r="E76" s="251"/>
      <c r="F76" s="251"/>
      <c r="G76" s="252"/>
      <c r="H76" s="251"/>
      <c r="I76" s="335">
        <v>1.1000000000000001</v>
      </c>
      <c r="J76" s="216" t="s">
        <v>305</v>
      </c>
      <c r="K76" s="216"/>
      <c r="L76" s="216"/>
      <c r="M76" s="216"/>
      <c r="N76" s="216"/>
      <c r="O76" s="216"/>
      <c r="P76" s="216"/>
      <c r="Q76" s="216"/>
      <c r="R76" s="335">
        <v>4</v>
      </c>
      <c r="S76" s="216" t="s">
        <v>343</v>
      </c>
      <c r="T76" s="216"/>
      <c r="U76" s="229"/>
      <c r="V76" s="48">
        <f t="shared" si="1"/>
        <v>76</v>
      </c>
      <c r="W76" s="199" t="str">
        <f t="shared" si="6"/>
        <v>✔</v>
      </c>
      <c r="Y76" s="164"/>
      <c r="Z76" s="242">
        <v>0</v>
      </c>
      <c r="AA76" s="242">
        <v>30</v>
      </c>
      <c r="AB76" s="242">
        <v>0</v>
      </c>
      <c r="AC76" s="242">
        <v>30</v>
      </c>
      <c r="AD76" s="192"/>
    </row>
    <row r="77" spans="1:30" ht="21" customHeight="1" thickBot="1">
      <c r="A77" s="214"/>
      <c r="B77" s="215"/>
      <c r="C77" s="251" t="s">
        <v>350</v>
      </c>
      <c r="D77" s="251"/>
      <c r="E77" s="251"/>
      <c r="F77" s="251"/>
      <c r="G77" s="252"/>
      <c r="H77" s="251"/>
      <c r="I77" s="335">
        <v>0</v>
      </c>
      <c r="J77" s="216" t="s">
        <v>305</v>
      </c>
      <c r="K77" s="216"/>
      <c r="L77" s="216"/>
      <c r="M77" s="216"/>
      <c r="N77" s="216"/>
      <c r="O77" s="216"/>
      <c r="P77" s="216"/>
      <c r="Q77" s="216"/>
      <c r="R77" s="335">
        <v>0</v>
      </c>
      <c r="S77" s="216" t="s">
        <v>343</v>
      </c>
      <c r="T77" s="216"/>
      <c r="U77" s="229"/>
      <c r="V77" s="48">
        <f t="shared" si="1"/>
        <v>77</v>
      </c>
      <c r="W77" s="199" t="str">
        <f t="shared" si="6"/>
        <v>✔</v>
      </c>
      <c r="Y77" s="164"/>
      <c r="Z77" s="242">
        <v>0</v>
      </c>
      <c r="AA77" s="242">
        <v>30</v>
      </c>
      <c r="AB77" s="242">
        <v>0</v>
      </c>
      <c r="AC77" s="242">
        <v>30</v>
      </c>
      <c r="AD77" s="192"/>
    </row>
    <row r="78" spans="1:30" ht="21" customHeight="1" thickBot="1">
      <c r="A78" s="214"/>
      <c r="B78" s="215"/>
      <c r="C78" s="251" t="s">
        <v>351</v>
      </c>
      <c r="D78" s="251"/>
      <c r="E78" s="251"/>
      <c r="F78" s="251"/>
      <c r="G78" s="252"/>
      <c r="H78" s="251"/>
      <c r="I78" s="335">
        <v>0</v>
      </c>
      <c r="J78" s="216" t="s">
        <v>305</v>
      </c>
      <c r="K78" s="216"/>
      <c r="L78" s="216"/>
      <c r="M78" s="216"/>
      <c r="N78" s="216"/>
      <c r="O78" s="216"/>
      <c r="P78" s="216"/>
      <c r="Q78" s="216"/>
      <c r="R78" s="335">
        <v>1</v>
      </c>
      <c r="S78" s="216" t="s">
        <v>343</v>
      </c>
      <c r="T78" s="216"/>
      <c r="U78" s="229"/>
      <c r="V78" s="48">
        <f t="shared" si="1"/>
        <v>78</v>
      </c>
      <c r="W78" s="199" t="str">
        <f t="shared" si="6"/>
        <v>✔</v>
      </c>
      <c r="Y78" s="164"/>
      <c r="Z78" s="242">
        <v>0</v>
      </c>
      <c r="AA78" s="242">
        <v>30</v>
      </c>
      <c r="AB78" s="242">
        <v>0</v>
      </c>
      <c r="AC78" s="242">
        <v>30</v>
      </c>
      <c r="AD78" s="192"/>
    </row>
    <row r="79" spans="1:30" ht="21" customHeight="1" thickBot="1">
      <c r="A79" s="214"/>
      <c r="B79" s="215"/>
      <c r="C79" s="251" t="s">
        <v>352</v>
      </c>
      <c r="D79" s="251"/>
      <c r="E79" s="251"/>
      <c r="F79" s="251"/>
      <c r="G79" s="252"/>
      <c r="H79" s="251"/>
      <c r="I79" s="335">
        <v>0</v>
      </c>
      <c r="J79" s="216" t="s">
        <v>305</v>
      </c>
      <c r="K79" s="216"/>
      <c r="L79" s="251"/>
      <c r="M79" s="216"/>
      <c r="N79" s="216"/>
      <c r="O79" s="216"/>
      <c r="P79" s="216"/>
      <c r="Q79" s="216"/>
      <c r="R79" s="335">
        <v>2</v>
      </c>
      <c r="S79" s="216" t="s">
        <v>343</v>
      </c>
      <c r="T79" s="216"/>
      <c r="U79" s="229"/>
      <c r="V79" s="48">
        <f t="shared" si="1"/>
        <v>79</v>
      </c>
      <c r="W79" s="199" t="str">
        <f t="shared" si="6"/>
        <v>✔</v>
      </c>
      <c r="Y79" s="164"/>
      <c r="Z79" s="242">
        <v>0</v>
      </c>
      <c r="AA79" s="242">
        <v>30</v>
      </c>
      <c r="AB79" s="242">
        <v>0</v>
      </c>
      <c r="AC79" s="242">
        <v>30</v>
      </c>
      <c r="AD79" s="192"/>
    </row>
    <row r="80" spans="1:30" ht="21" customHeight="1" thickBot="1">
      <c r="A80" s="214"/>
      <c r="B80" s="215"/>
      <c r="C80" s="251" t="s">
        <v>353</v>
      </c>
      <c r="D80" s="251"/>
      <c r="E80" s="251"/>
      <c r="F80" s="251"/>
      <c r="G80" s="252"/>
      <c r="H80" s="251"/>
      <c r="I80" s="335">
        <v>0</v>
      </c>
      <c r="J80" s="216" t="s">
        <v>305</v>
      </c>
      <c r="K80" s="216"/>
      <c r="L80" s="216"/>
      <c r="M80" s="216"/>
      <c r="N80" s="216"/>
      <c r="O80" s="216"/>
      <c r="P80" s="216"/>
      <c r="Q80" s="216"/>
      <c r="R80" s="335">
        <v>0</v>
      </c>
      <c r="S80" s="216" t="s">
        <v>343</v>
      </c>
      <c r="T80" s="216"/>
      <c r="U80" s="229"/>
      <c r="V80" s="48">
        <f t="shared" si="1"/>
        <v>80</v>
      </c>
      <c r="W80" s="199" t="str">
        <f t="shared" si="6"/>
        <v>✔</v>
      </c>
      <c r="Y80" s="164"/>
      <c r="Z80" s="242">
        <v>0</v>
      </c>
      <c r="AA80" s="242">
        <v>30</v>
      </c>
      <c r="AB80" s="242">
        <v>0</v>
      </c>
      <c r="AC80" s="242">
        <v>30</v>
      </c>
      <c r="AD80" s="192"/>
    </row>
    <row r="81" spans="1:30" ht="21" customHeight="1" thickBot="1">
      <c r="A81" s="214"/>
      <c r="B81" s="215"/>
      <c r="C81" s="251" t="s">
        <v>354</v>
      </c>
      <c r="D81" s="251"/>
      <c r="E81" s="251"/>
      <c r="F81" s="251"/>
      <c r="G81" s="252"/>
      <c r="H81" s="251"/>
      <c r="I81" s="335">
        <v>0</v>
      </c>
      <c r="J81" s="216" t="s">
        <v>305</v>
      </c>
      <c r="K81" s="216"/>
      <c r="L81" s="216"/>
      <c r="M81" s="216"/>
      <c r="N81" s="216"/>
      <c r="O81" s="216"/>
      <c r="P81" s="216"/>
      <c r="Q81" s="216"/>
      <c r="R81" s="335">
        <v>3</v>
      </c>
      <c r="S81" s="216" t="s">
        <v>343</v>
      </c>
      <c r="T81" s="216"/>
      <c r="U81" s="229"/>
      <c r="V81" s="48">
        <f t="shared" ref="V81:V146" si="8">+ROW()</f>
        <v>81</v>
      </c>
      <c r="W81" s="199" t="str">
        <f t="shared" si="6"/>
        <v>✔</v>
      </c>
      <c r="Y81" s="164"/>
      <c r="Z81" s="242">
        <v>0</v>
      </c>
      <c r="AA81" s="242">
        <v>30</v>
      </c>
      <c r="AB81" s="242">
        <v>0</v>
      </c>
      <c r="AC81" s="242">
        <v>30</v>
      </c>
      <c r="AD81" s="192"/>
    </row>
    <row r="82" spans="1:30" ht="21" customHeight="1" thickBot="1">
      <c r="A82" s="214"/>
      <c r="B82" s="215"/>
      <c r="C82" s="251" t="s">
        <v>355</v>
      </c>
      <c r="D82" s="251"/>
      <c r="E82" s="251"/>
      <c r="F82" s="251"/>
      <c r="G82" s="252"/>
      <c r="H82" s="251"/>
      <c r="I82" s="335">
        <v>0</v>
      </c>
      <c r="J82" s="216" t="s">
        <v>305</v>
      </c>
      <c r="K82" s="216"/>
      <c r="L82" s="216"/>
      <c r="M82" s="216"/>
      <c r="N82" s="216"/>
      <c r="O82" s="216"/>
      <c r="P82" s="216"/>
      <c r="Q82" s="216"/>
      <c r="R82" s="335">
        <v>3</v>
      </c>
      <c r="S82" s="216" t="s">
        <v>343</v>
      </c>
      <c r="T82" s="216"/>
      <c r="U82" s="229"/>
      <c r="V82" s="48">
        <f t="shared" si="8"/>
        <v>82</v>
      </c>
      <c r="W82" s="199" t="str">
        <f t="shared" si="6"/>
        <v>✔</v>
      </c>
      <c r="Y82" s="164"/>
      <c r="Z82" s="242">
        <v>0</v>
      </c>
      <c r="AA82" s="242">
        <v>30</v>
      </c>
      <c r="AB82" s="242">
        <v>0</v>
      </c>
      <c r="AC82" s="242">
        <v>30</v>
      </c>
      <c r="AD82" s="192"/>
    </row>
    <row r="83" spans="1:30" ht="21" customHeight="1" thickBot="1">
      <c r="A83" s="214"/>
      <c r="B83" s="215"/>
      <c r="C83" s="251" t="s">
        <v>356</v>
      </c>
      <c r="D83" s="251"/>
      <c r="E83" s="251"/>
      <c r="F83" s="251"/>
      <c r="G83" s="252"/>
      <c r="H83" s="251"/>
      <c r="I83" s="335">
        <v>0</v>
      </c>
      <c r="J83" s="216" t="s">
        <v>305</v>
      </c>
      <c r="K83" s="216"/>
      <c r="L83" s="216"/>
      <c r="M83" s="216"/>
      <c r="N83" s="216"/>
      <c r="O83" s="216"/>
      <c r="P83" s="216"/>
      <c r="Q83" s="216"/>
      <c r="R83" s="335">
        <v>3</v>
      </c>
      <c r="S83" s="216" t="s">
        <v>343</v>
      </c>
      <c r="T83" s="216"/>
      <c r="U83" s="229"/>
      <c r="V83" s="48">
        <f t="shared" si="8"/>
        <v>83</v>
      </c>
      <c r="W83" s="199" t="str">
        <f t="shared" si="6"/>
        <v>✔</v>
      </c>
      <c r="Y83" s="164"/>
      <c r="Z83" s="242">
        <v>0</v>
      </c>
      <c r="AA83" s="242">
        <v>30</v>
      </c>
      <c r="AB83" s="242">
        <v>0</v>
      </c>
      <c r="AC83" s="242">
        <v>30</v>
      </c>
      <c r="AD83" s="192"/>
    </row>
    <row r="84" spans="1:30" ht="21" customHeight="1" thickBot="1">
      <c r="A84" s="214"/>
      <c r="B84" s="215"/>
      <c r="C84" s="251" t="s">
        <v>357</v>
      </c>
      <c r="D84" s="251"/>
      <c r="E84" s="251"/>
      <c r="F84" s="258"/>
      <c r="G84" s="252"/>
      <c r="H84" s="252"/>
      <c r="I84" s="335">
        <v>0</v>
      </c>
      <c r="J84" s="216" t="s">
        <v>305</v>
      </c>
      <c r="K84" s="216"/>
      <c r="L84" s="216"/>
      <c r="M84" s="216"/>
      <c r="N84" s="216"/>
      <c r="O84" s="216"/>
      <c r="P84" s="216"/>
      <c r="Q84" s="216"/>
      <c r="R84" s="335">
        <v>1</v>
      </c>
      <c r="S84" s="216" t="s">
        <v>343</v>
      </c>
      <c r="T84" s="216"/>
      <c r="U84" s="229"/>
      <c r="V84" s="48">
        <f t="shared" si="8"/>
        <v>84</v>
      </c>
      <c r="W84" s="199" t="str">
        <f t="shared" si="6"/>
        <v>✔</v>
      </c>
      <c r="Y84" s="164"/>
      <c r="Z84" s="242">
        <v>0</v>
      </c>
      <c r="AA84" s="242">
        <v>30</v>
      </c>
      <c r="AB84" s="242">
        <v>0</v>
      </c>
      <c r="AC84" s="242">
        <v>30</v>
      </c>
      <c r="AD84" s="192"/>
    </row>
    <row r="85" spans="1:30" ht="21" customHeight="1" thickBot="1">
      <c r="A85" s="214"/>
      <c r="B85" s="215"/>
      <c r="C85" s="251" t="s">
        <v>358</v>
      </c>
      <c r="D85" s="251"/>
      <c r="E85" s="251"/>
      <c r="F85" s="251"/>
      <c r="G85" s="252"/>
      <c r="H85" s="251"/>
      <c r="I85" s="335">
        <v>0</v>
      </c>
      <c r="J85" s="216" t="s">
        <v>305</v>
      </c>
      <c r="K85" s="216"/>
      <c r="L85" s="216"/>
      <c r="M85" s="216"/>
      <c r="N85" s="216"/>
      <c r="O85" s="216"/>
      <c r="P85" s="216"/>
      <c r="Q85" s="216"/>
      <c r="R85" s="335">
        <v>2</v>
      </c>
      <c r="S85" s="216" t="s">
        <v>343</v>
      </c>
      <c r="T85" s="216"/>
      <c r="U85" s="229"/>
      <c r="V85" s="48">
        <f t="shared" si="8"/>
        <v>85</v>
      </c>
      <c r="W85" s="199" t="str">
        <f t="shared" si="6"/>
        <v>✔</v>
      </c>
      <c r="Y85" s="164"/>
      <c r="Z85" s="242">
        <v>0</v>
      </c>
      <c r="AA85" s="242">
        <v>30</v>
      </c>
      <c r="AB85" s="242">
        <v>0</v>
      </c>
      <c r="AC85" s="242">
        <v>30</v>
      </c>
      <c r="AD85" s="192"/>
    </row>
    <row r="86" spans="1:30" ht="21" customHeight="1" thickBot="1">
      <c r="A86" s="214"/>
      <c r="B86" s="215"/>
      <c r="C86" s="251" t="s">
        <v>359</v>
      </c>
      <c r="D86" s="251"/>
      <c r="E86" s="251"/>
      <c r="F86" s="251"/>
      <c r="G86" s="252"/>
      <c r="H86" s="251"/>
      <c r="I86" s="335">
        <v>0</v>
      </c>
      <c r="J86" s="216" t="s">
        <v>305</v>
      </c>
      <c r="K86" s="216"/>
      <c r="L86" s="216"/>
      <c r="M86" s="216"/>
      <c r="N86" s="216"/>
      <c r="O86" s="216"/>
      <c r="P86" s="216"/>
      <c r="Q86" s="216"/>
      <c r="R86" s="335">
        <v>0</v>
      </c>
      <c r="S86" s="216" t="s">
        <v>343</v>
      </c>
      <c r="T86" s="216"/>
      <c r="U86" s="229"/>
      <c r="V86" s="48">
        <f t="shared" si="8"/>
        <v>86</v>
      </c>
      <c r="W86" s="199" t="str">
        <f t="shared" si="6"/>
        <v>✔</v>
      </c>
      <c r="Y86" s="164"/>
      <c r="Z86" s="242">
        <v>0</v>
      </c>
      <c r="AA86" s="242">
        <v>30</v>
      </c>
      <c r="AB86" s="242">
        <v>0</v>
      </c>
      <c r="AC86" s="242">
        <v>30</v>
      </c>
      <c r="AD86" s="192"/>
    </row>
    <row r="87" spans="1:30" ht="21" customHeight="1" thickBot="1">
      <c r="A87" s="214"/>
      <c r="B87" s="215"/>
      <c r="C87" s="251" t="s">
        <v>360</v>
      </c>
      <c r="D87" s="251"/>
      <c r="E87" s="251"/>
      <c r="F87" s="251"/>
      <c r="G87" s="252"/>
      <c r="H87" s="251"/>
      <c r="I87" s="335">
        <v>0</v>
      </c>
      <c r="J87" s="216" t="s">
        <v>305</v>
      </c>
      <c r="K87" s="216"/>
      <c r="L87" s="216"/>
      <c r="M87" s="216"/>
      <c r="N87" s="216"/>
      <c r="O87" s="216"/>
      <c r="P87" s="216"/>
      <c r="Q87" s="216"/>
      <c r="R87" s="335">
        <v>0</v>
      </c>
      <c r="S87" s="216" t="s">
        <v>343</v>
      </c>
      <c r="T87" s="216"/>
      <c r="U87" s="229"/>
      <c r="V87" s="48">
        <f t="shared" si="8"/>
        <v>87</v>
      </c>
      <c r="W87" s="199" t="str">
        <f t="shared" si="6"/>
        <v>✔</v>
      </c>
      <c r="Y87" s="164"/>
      <c r="Z87" s="242">
        <v>0</v>
      </c>
      <c r="AA87" s="242">
        <v>30</v>
      </c>
      <c r="AB87" s="242">
        <v>0</v>
      </c>
      <c r="AC87" s="242">
        <v>30</v>
      </c>
      <c r="AD87" s="192"/>
    </row>
    <row r="88" spans="1:30" ht="21" customHeight="1" thickBot="1">
      <c r="A88" s="214"/>
      <c r="B88" s="215"/>
      <c r="C88" s="251" t="s">
        <v>361</v>
      </c>
      <c r="D88" s="251"/>
      <c r="E88" s="251"/>
      <c r="F88" s="251"/>
      <c r="G88" s="252"/>
      <c r="H88" s="251"/>
      <c r="I88" s="335">
        <v>0</v>
      </c>
      <c r="J88" s="216" t="s">
        <v>305</v>
      </c>
      <c r="K88" s="216"/>
      <c r="L88" s="216"/>
      <c r="M88" s="216"/>
      <c r="N88" s="216"/>
      <c r="O88" s="216"/>
      <c r="P88" s="216"/>
      <c r="Q88" s="216"/>
      <c r="R88" s="335">
        <v>2</v>
      </c>
      <c r="S88" s="216" t="s">
        <v>343</v>
      </c>
      <c r="T88" s="216"/>
      <c r="U88" s="229"/>
      <c r="V88" s="48">
        <f t="shared" si="8"/>
        <v>88</v>
      </c>
      <c r="W88" s="199" t="str">
        <f t="shared" si="6"/>
        <v>✔</v>
      </c>
      <c r="Y88" s="164"/>
      <c r="Z88" s="242">
        <v>0</v>
      </c>
      <c r="AA88" s="242">
        <v>30</v>
      </c>
      <c r="AB88" s="242">
        <v>0</v>
      </c>
      <c r="AC88" s="242">
        <v>30</v>
      </c>
      <c r="AD88" s="192"/>
    </row>
    <row r="89" spans="1:30" ht="21" customHeight="1" thickBot="1">
      <c r="A89" s="214"/>
      <c r="B89" s="215"/>
      <c r="C89" s="251" t="s">
        <v>362</v>
      </c>
      <c r="D89" s="251"/>
      <c r="E89" s="251"/>
      <c r="F89" s="251"/>
      <c r="G89" s="252"/>
      <c r="H89" s="251"/>
      <c r="I89" s="335">
        <v>0</v>
      </c>
      <c r="J89" s="216" t="s">
        <v>305</v>
      </c>
      <c r="K89" s="216"/>
      <c r="L89" s="216"/>
      <c r="M89" s="216"/>
      <c r="N89" s="216"/>
      <c r="O89" s="216"/>
      <c r="P89" s="216"/>
      <c r="Q89" s="216"/>
      <c r="R89" s="335">
        <v>1</v>
      </c>
      <c r="S89" s="216" t="s">
        <v>343</v>
      </c>
      <c r="T89" s="216"/>
      <c r="U89" s="229"/>
      <c r="V89" s="48">
        <f t="shared" si="8"/>
        <v>89</v>
      </c>
      <c r="W89" s="199" t="str">
        <f t="shared" si="6"/>
        <v>✔</v>
      </c>
      <c r="Y89" s="164"/>
      <c r="Z89" s="242">
        <v>0</v>
      </c>
      <c r="AA89" s="242">
        <v>30</v>
      </c>
      <c r="AB89" s="242">
        <v>0</v>
      </c>
      <c r="AC89" s="242">
        <v>30</v>
      </c>
      <c r="AD89" s="192"/>
    </row>
    <row r="90" spans="1:30" ht="21" customHeight="1" thickBot="1">
      <c r="A90" s="214"/>
      <c r="B90" s="215"/>
      <c r="C90" s="251" t="s">
        <v>363</v>
      </c>
      <c r="D90" s="251"/>
      <c r="E90" s="251"/>
      <c r="F90" s="251"/>
      <c r="G90" s="252"/>
      <c r="H90" s="251"/>
      <c r="I90" s="335">
        <v>0</v>
      </c>
      <c r="J90" s="216" t="s">
        <v>305</v>
      </c>
      <c r="K90" s="216"/>
      <c r="L90" s="216"/>
      <c r="M90" s="216"/>
      <c r="N90" s="216"/>
      <c r="O90" s="216"/>
      <c r="P90" s="216"/>
      <c r="Q90" s="216"/>
      <c r="R90" s="335">
        <v>1</v>
      </c>
      <c r="S90" s="216" t="s">
        <v>343</v>
      </c>
      <c r="T90" s="216"/>
      <c r="U90" s="229"/>
      <c r="V90" s="48">
        <f t="shared" si="8"/>
        <v>90</v>
      </c>
      <c r="W90" s="199" t="str">
        <f t="shared" si="6"/>
        <v>✔</v>
      </c>
      <c r="Y90" s="164"/>
      <c r="Z90" s="242">
        <v>0</v>
      </c>
      <c r="AA90" s="242">
        <v>30</v>
      </c>
      <c r="AB90" s="242">
        <v>0</v>
      </c>
      <c r="AC90" s="242">
        <v>30</v>
      </c>
      <c r="AD90" s="192"/>
    </row>
    <row r="91" spans="1:30" ht="21" customHeight="1" thickBot="1">
      <c r="A91" s="214"/>
      <c r="B91" s="215"/>
      <c r="C91" s="251" t="s">
        <v>364</v>
      </c>
      <c r="D91" s="251"/>
      <c r="E91" s="251"/>
      <c r="F91" s="251"/>
      <c r="G91" s="252"/>
      <c r="H91" s="251"/>
      <c r="I91" s="335">
        <v>0</v>
      </c>
      <c r="J91" s="216" t="s">
        <v>305</v>
      </c>
      <c r="K91" s="216"/>
      <c r="L91" s="216"/>
      <c r="M91" s="216"/>
      <c r="N91" s="216"/>
      <c r="O91" s="216"/>
      <c r="P91" s="216"/>
      <c r="Q91" s="216"/>
      <c r="R91" s="335">
        <v>2</v>
      </c>
      <c r="S91" s="216" t="s">
        <v>343</v>
      </c>
      <c r="T91" s="216"/>
      <c r="U91" s="229"/>
      <c r="V91" s="48">
        <f t="shared" si="8"/>
        <v>91</v>
      </c>
      <c r="W91" s="199" t="str">
        <f t="shared" si="6"/>
        <v>✔</v>
      </c>
      <c r="Y91" s="164"/>
      <c r="Z91" s="242">
        <v>0</v>
      </c>
      <c r="AA91" s="242">
        <v>30</v>
      </c>
      <c r="AB91" s="242">
        <v>0</v>
      </c>
      <c r="AC91" s="242">
        <v>30</v>
      </c>
      <c r="AD91" s="192"/>
    </row>
    <row r="92" spans="1:30" ht="21" customHeight="1" thickBot="1">
      <c r="A92" s="214"/>
      <c r="B92" s="215"/>
      <c r="C92" s="251" t="s">
        <v>365</v>
      </c>
      <c r="D92" s="251"/>
      <c r="E92" s="251"/>
      <c r="F92" s="251"/>
      <c r="G92" s="252"/>
      <c r="H92" s="251"/>
      <c r="I92" s="335">
        <v>0</v>
      </c>
      <c r="J92" s="216" t="s">
        <v>305</v>
      </c>
      <c r="K92" s="216"/>
      <c r="L92" s="216"/>
      <c r="M92" s="216"/>
      <c r="N92" s="216"/>
      <c r="O92" s="216"/>
      <c r="P92" s="216"/>
      <c r="Q92" s="216"/>
      <c r="R92" s="335">
        <v>1</v>
      </c>
      <c r="S92" s="216" t="s">
        <v>343</v>
      </c>
      <c r="T92" s="216"/>
      <c r="U92" s="229"/>
      <c r="V92" s="48">
        <f t="shared" si="8"/>
        <v>92</v>
      </c>
      <c r="W92" s="199" t="str">
        <f t="shared" si="6"/>
        <v>✔</v>
      </c>
      <c r="Y92" s="164"/>
      <c r="Z92" s="242">
        <v>0</v>
      </c>
      <c r="AA92" s="242">
        <v>30</v>
      </c>
      <c r="AB92" s="242">
        <v>0</v>
      </c>
      <c r="AC92" s="242">
        <v>30</v>
      </c>
      <c r="AD92" s="192"/>
    </row>
    <row r="93" spans="1:30" ht="21" customHeight="1" thickBot="1">
      <c r="A93" s="214"/>
      <c r="B93" s="215"/>
      <c r="C93" s="251" t="s">
        <v>366</v>
      </c>
      <c r="D93" s="251"/>
      <c r="E93" s="251"/>
      <c r="F93" s="251"/>
      <c r="G93" s="252"/>
      <c r="H93" s="251"/>
      <c r="I93" s="335">
        <v>0</v>
      </c>
      <c r="J93" s="216" t="s">
        <v>305</v>
      </c>
      <c r="K93" s="216"/>
      <c r="L93" s="216"/>
      <c r="M93" s="216"/>
      <c r="N93" s="216"/>
      <c r="O93" s="216"/>
      <c r="P93" s="216"/>
      <c r="Q93" s="216"/>
      <c r="R93" s="335">
        <v>0</v>
      </c>
      <c r="S93" s="216" t="s">
        <v>343</v>
      </c>
      <c r="T93" s="216"/>
      <c r="U93" s="229"/>
      <c r="V93" s="48">
        <f t="shared" si="8"/>
        <v>93</v>
      </c>
      <c r="W93" s="199" t="str">
        <f t="shared" si="6"/>
        <v>✔</v>
      </c>
      <c r="Y93" s="164"/>
      <c r="Z93" s="242">
        <v>0</v>
      </c>
      <c r="AA93" s="242">
        <v>30</v>
      </c>
      <c r="AB93" s="242">
        <v>0</v>
      </c>
      <c r="AC93" s="242">
        <v>30</v>
      </c>
      <c r="AD93" s="192"/>
    </row>
    <row r="94" spans="1:30" ht="21" customHeight="1" thickBot="1">
      <c r="A94" s="214"/>
      <c r="B94" s="215"/>
      <c r="C94" s="251" t="s">
        <v>367</v>
      </c>
      <c r="D94" s="251"/>
      <c r="E94" s="251"/>
      <c r="F94" s="251"/>
      <c r="G94" s="252"/>
      <c r="H94" s="251"/>
      <c r="I94" s="335">
        <v>0</v>
      </c>
      <c r="J94" s="216" t="s">
        <v>305</v>
      </c>
      <c r="K94" s="216"/>
      <c r="L94" s="216"/>
      <c r="M94" s="216"/>
      <c r="N94" s="216"/>
      <c r="O94" s="216"/>
      <c r="P94" s="216"/>
      <c r="Q94" s="216"/>
      <c r="R94" s="335">
        <v>2</v>
      </c>
      <c r="S94" s="216" t="s">
        <v>343</v>
      </c>
      <c r="T94" s="216"/>
      <c r="U94" s="229"/>
      <c r="V94" s="48">
        <f t="shared" si="8"/>
        <v>94</v>
      </c>
      <c r="W94" s="199" t="str">
        <f t="shared" si="6"/>
        <v>✔</v>
      </c>
      <c r="Y94" s="164"/>
      <c r="Z94" s="242">
        <v>0</v>
      </c>
      <c r="AA94" s="242">
        <v>30</v>
      </c>
      <c r="AB94" s="242">
        <v>0</v>
      </c>
      <c r="AC94" s="242">
        <v>30</v>
      </c>
      <c r="AD94" s="192"/>
    </row>
    <row r="95" spans="1:30" ht="21" customHeight="1" thickBot="1">
      <c r="A95" s="214"/>
      <c r="B95" s="215"/>
      <c r="C95" s="251" t="s">
        <v>368</v>
      </c>
      <c r="D95" s="251"/>
      <c r="E95" s="251"/>
      <c r="F95" s="251"/>
      <c r="G95" s="252"/>
      <c r="H95" s="251"/>
      <c r="I95" s="335">
        <v>0</v>
      </c>
      <c r="J95" s="216" t="s">
        <v>305</v>
      </c>
      <c r="K95" s="216"/>
      <c r="L95" s="216"/>
      <c r="M95" s="216"/>
      <c r="N95" s="216"/>
      <c r="O95" s="216"/>
      <c r="P95" s="216"/>
      <c r="Q95" s="216"/>
      <c r="R95" s="335">
        <v>1</v>
      </c>
      <c r="S95" s="216" t="s">
        <v>343</v>
      </c>
      <c r="T95" s="216"/>
      <c r="U95" s="229"/>
      <c r="V95" s="48">
        <f t="shared" si="8"/>
        <v>95</v>
      </c>
      <c r="W95" s="199" t="str">
        <f t="shared" si="6"/>
        <v>✔</v>
      </c>
      <c r="Y95" s="164"/>
      <c r="Z95" s="242">
        <v>0</v>
      </c>
      <c r="AA95" s="242">
        <v>30</v>
      </c>
      <c r="AB95" s="242">
        <v>0</v>
      </c>
      <c r="AC95" s="242">
        <v>30</v>
      </c>
      <c r="AD95" s="192"/>
    </row>
    <row r="96" spans="1:30" ht="21" customHeight="1" thickBot="1">
      <c r="A96" s="214"/>
      <c r="B96" s="215"/>
      <c r="C96" s="251" t="s">
        <v>369</v>
      </c>
      <c r="D96" s="251"/>
      <c r="E96" s="251"/>
      <c r="F96" s="251"/>
      <c r="G96" s="252"/>
      <c r="H96" s="251"/>
      <c r="I96" s="335">
        <v>0</v>
      </c>
      <c r="J96" s="216" t="s">
        <v>305</v>
      </c>
      <c r="K96" s="216"/>
      <c r="L96" s="216"/>
      <c r="M96" s="216"/>
      <c r="N96" s="216"/>
      <c r="O96" s="216"/>
      <c r="P96" s="216"/>
      <c r="Q96" s="216"/>
      <c r="R96" s="335">
        <v>0</v>
      </c>
      <c r="S96" s="216" t="s">
        <v>343</v>
      </c>
      <c r="T96" s="216"/>
      <c r="U96" s="229"/>
      <c r="V96" s="48">
        <f t="shared" si="8"/>
        <v>96</v>
      </c>
      <c r="W96" s="199" t="str">
        <f t="shared" si="6"/>
        <v>✔</v>
      </c>
      <c r="Y96" s="164"/>
      <c r="Z96" s="242">
        <v>0</v>
      </c>
      <c r="AA96" s="242">
        <v>30</v>
      </c>
      <c r="AB96" s="242">
        <v>0</v>
      </c>
      <c r="AC96" s="242">
        <v>30</v>
      </c>
      <c r="AD96" s="192"/>
    </row>
    <row r="97" spans="1:30" ht="21" customHeight="1" thickBot="1">
      <c r="A97" s="214"/>
      <c r="B97" s="215"/>
      <c r="C97" s="251" t="s">
        <v>370</v>
      </c>
      <c r="D97" s="251"/>
      <c r="E97" s="251"/>
      <c r="F97" s="251"/>
      <c r="G97" s="252"/>
      <c r="H97" s="251"/>
      <c r="I97" s="335">
        <v>0</v>
      </c>
      <c r="J97" s="216" t="s">
        <v>305</v>
      </c>
      <c r="K97" s="216"/>
      <c r="L97" s="216"/>
      <c r="M97" s="216"/>
      <c r="N97" s="216"/>
      <c r="O97" s="216"/>
      <c r="P97" s="216"/>
      <c r="Q97" s="216"/>
      <c r="R97" s="335">
        <v>1</v>
      </c>
      <c r="S97" s="216" t="s">
        <v>343</v>
      </c>
      <c r="T97" s="216"/>
      <c r="U97" s="229"/>
      <c r="V97" s="48">
        <f t="shared" si="8"/>
        <v>97</v>
      </c>
      <c r="W97" s="199" t="str">
        <f t="shared" si="6"/>
        <v>✔</v>
      </c>
      <c r="Y97" s="164"/>
      <c r="Z97" s="242">
        <v>0</v>
      </c>
      <c r="AA97" s="242">
        <v>30</v>
      </c>
      <c r="AB97" s="242">
        <v>0</v>
      </c>
      <c r="AC97" s="242">
        <v>30</v>
      </c>
      <c r="AD97" s="192"/>
    </row>
    <row r="98" spans="1:30" ht="21" customHeight="1" thickBot="1">
      <c r="A98" s="214"/>
      <c r="B98" s="215"/>
      <c r="C98" s="251" t="s">
        <v>371</v>
      </c>
      <c r="D98" s="251"/>
      <c r="E98" s="251"/>
      <c r="F98" s="251"/>
      <c r="G98" s="252"/>
      <c r="H98" s="251"/>
      <c r="I98" s="335">
        <v>0.5</v>
      </c>
      <c r="J98" s="216" t="s">
        <v>305</v>
      </c>
      <c r="K98" s="216"/>
      <c r="L98" s="216"/>
      <c r="M98" s="216"/>
      <c r="N98" s="216"/>
      <c r="O98" s="216"/>
      <c r="P98" s="216"/>
      <c r="Q98" s="216"/>
      <c r="R98" s="335">
        <v>21</v>
      </c>
      <c r="S98" s="216" t="s">
        <v>343</v>
      </c>
      <c r="T98" s="216"/>
      <c r="U98" s="229"/>
      <c r="V98" s="48">
        <f t="shared" si="8"/>
        <v>98</v>
      </c>
      <c r="W98" s="199" t="str">
        <f t="shared" si="6"/>
        <v>✔</v>
      </c>
      <c r="Y98" s="164"/>
      <c r="Z98" s="242">
        <v>0</v>
      </c>
      <c r="AA98" s="242">
        <v>30</v>
      </c>
      <c r="AB98" s="242">
        <v>0</v>
      </c>
      <c r="AC98" s="253">
        <v>80</v>
      </c>
      <c r="AD98" s="192"/>
    </row>
    <row r="99" spans="1:30" ht="21" customHeight="1" thickBot="1">
      <c r="A99" s="214"/>
      <c r="B99" s="215"/>
      <c r="C99" s="251" t="s">
        <v>372</v>
      </c>
      <c r="D99" s="251"/>
      <c r="E99" s="251"/>
      <c r="F99" s="251"/>
      <c r="G99" s="252"/>
      <c r="H99" s="251"/>
      <c r="I99" s="335">
        <v>0</v>
      </c>
      <c r="J99" s="216" t="s">
        <v>305</v>
      </c>
      <c r="K99" s="216"/>
      <c r="L99" s="216"/>
      <c r="M99" s="216"/>
      <c r="N99" s="216"/>
      <c r="O99" s="216"/>
      <c r="P99" s="216"/>
      <c r="Q99" s="216"/>
      <c r="R99" s="335">
        <v>10</v>
      </c>
      <c r="S99" s="216" t="s">
        <v>343</v>
      </c>
      <c r="T99" s="216"/>
      <c r="U99" s="229"/>
      <c r="V99" s="48">
        <f t="shared" si="8"/>
        <v>99</v>
      </c>
      <c r="W99" s="199" t="str">
        <f t="shared" si="6"/>
        <v>✔</v>
      </c>
      <c r="Y99" s="164"/>
      <c r="Z99" s="242">
        <v>0</v>
      </c>
      <c r="AA99" s="242">
        <v>30</v>
      </c>
      <c r="AB99" s="242">
        <v>0</v>
      </c>
      <c r="AC99" s="253">
        <v>40</v>
      </c>
      <c r="AD99" s="192"/>
    </row>
    <row r="100" spans="1:30" ht="21" customHeight="1" thickBot="1">
      <c r="A100" s="214"/>
      <c r="B100" s="215"/>
      <c r="C100" s="251" t="s">
        <v>373</v>
      </c>
      <c r="D100" s="251"/>
      <c r="E100" s="251"/>
      <c r="F100" s="251"/>
      <c r="G100" s="252"/>
      <c r="H100" s="251"/>
      <c r="I100" s="335">
        <v>0.7</v>
      </c>
      <c r="J100" s="216" t="s">
        <v>305</v>
      </c>
      <c r="K100" s="216"/>
      <c r="L100" s="216"/>
      <c r="M100" s="216"/>
      <c r="N100" s="216"/>
      <c r="O100" s="216"/>
      <c r="P100" s="216"/>
      <c r="Q100" s="216"/>
      <c r="R100" s="335">
        <v>3</v>
      </c>
      <c r="S100" s="216" t="s">
        <v>343</v>
      </c>
      <c r="T100" s="216"/>
      <c r="U100" s="229"/>
      <c r="V100" s="48">
        <f t="shared" si="8"/>
        <v>100</v>
      </c>
      <c r="W100" s="199" t="str">
        <f t="shared" si="6"/>
        <v>✔</v>
      </c>
      <c r="Y100" s="164"/>
      <c r="Z100" s="242">
        <v>0</v>
      </c>
      <c r="AA100" s="242">
        <v>30</v>
      </c>
      <c r="AB100" s="242">
        <v>0</v>
      </c>
      <c r="AC100" s="242">
        <v>30</v>
      </c>
      <c r="AD100" s="192"/>
    </row>
    <row r="101" spans="1:30" ht="21" customHeight="1" thickBot="1">
      <c r="A101" s="214"/>
      <c r="B101" s="215"/>
      <c r="C101" s="251" t="s">
        <v>374</v>
      </c>
      <c r="D101" s="251"/>
      <c r="E101" s="251"/>
      <c r="F101" s="251"/>
      <c r="G101" s="252"/>
      <c r="H101" s="251"/>
      <c r="I101" s="335">
        <v>0</v>
      </c>
      <c r="J101" s="216" t="s">
        <v>305</v>
      </c>
      <c r="K101" s="216"/>
      <c r="L101" s="216"/>
      <c r="M101" s="216"/>
      <c r="N101" s="216"/>
      <c r="O101" s="216"/>
      <c r="P101" s="216"/>
      <c r="Q101" s="216"/>
      <c r="R101" s="335">
        <v>3</v>
      </c>
      <c r="S101" s="216" t="s">
        <v>343</v>
      </c>
      <c r="T101" s="216"/>
      <c r="U101" s="229"/>
      <c r="V101" s="48">
        <f t="shared" si="8"/>
        <v>101</v>
      </c>
      <c r="W101" s="199" t="str">
        <f t="shared" si="6"/>
        <v>✔</v>
      </c>
      <c r="Y101" s="164"/>
      <c r="Z101" s="242">
        <v>0</v>
      </c>
      <c r="AA101" s="242">
        <v>30</v>
      </c>
      <c r="AB101" s="242">
        <v>0</v>
      </c>
      <c r="AC101" s="242">
        <v>30</v>
      </c>
      <c r="AD101" s="192"/>
    </row>
    <row r="102" spans="1:30" ht="21" customHeight="1" thickBot="1">
      <c r="A102" s="214"/>
      <c r="B102" s="215"/>
      <c r="C102" s="251" t="s">
        <v>375</v>
      </c>
      <c r="D102" s="251"/>
      <c r="E102" s="251"/>
      <c r="F102" s="251"/>
      <c r="G102" s="252"/>
      <c r="H102" s="251"/>
      <c r="I102" s="335">
        <v>0</v>
      </c>
      <c r="J102" s="216" t="s">
        <v>305</v>
      </c>
      <c r="K102" s="216"/>
      <c r="L102" s="216"/>
      <c r="M102" s="216"/>
      <c r="N102" s="216"/>
      <c r="O102" s="216"/>
      <c r="P102" s="216"/>
      <c r="Q102" s="216"/>
      <c r="R102" s="335">
        <v>2</v>
      </c>
      <c r="S102" s="216" t="s">
        <v>343</v>
      </c>
      <c r="T102" s="216"/>
      <c r="U102" s="229"/>
      <c r="V102" s="48">
        <f t="shared" si="8"/>
        <v>102</v>
      </c>
      <c r="W102" s="199" t="str">
        <f t="shared" ref="W102:W135" si="9">IF(OR(I102="",R102=""),"未入力あり","✔")</f>
        <v>✔</v>
      </c>
      <c r="Y102" s="164"/>
      <c r="Z102" s="242">
        <v>0</v>
      </c>
      <c r="AA102" s="242">
        <v>30</v>
      </c>
      <c r="AB102" s="242">
        <v>0</v>
      </c>
      <c r="AC102" s="242">
        <v>30</v>
      </c>
      <c r="AD102" s="192"/>
    </row>
    <row r="103" spans="1:30" ht="21" customHeight="1" thickBot="1">
      <c r="A103" s="214"/>
      <c r="B103" s="215"/>
      <c r="C103" s="251" t="s">
        <v>376</v>
      </c>
      <c r="D103" s="251"/>
      <c r="E103" s="251"/>
      <c r="F103" s="251"/>
      <c r="G103" s="252"/>
      <c r="H103" s="251"/>
      <c r="I103" s="335">
        <v>0</v>
      </c>
      <c r="J103" s="216" t="s">
        <v>305</v>
      </c>
      <c r="K103" s="216"/>
      <c r="L103" s="216"/>
      <c r="M103" s="216"/>
      <c r="N103" s="216"/>
      <c r="O103" s="216"/>
      <c r="P103" s="216"/>
      <c r="Q103" s="216"/>
      <c r="R103" s="335">
        <v>4</v>
      </c>
      <c r="S103" s="216" t="s">
        <v>343</v>
      </c>
      <c r="T103" s="216"/>
      <c r="U103" s="229"/>
      <c r="V103" s="48">
        <f t="shared" si="8"/>
        <v>103</v>
      </c>
      <c r="W103" s="199" t="str">
        <f t="shared" si="9"/>
        <v>✔</v>
      </c>
      <c r="Y103" s="164"/>
      <c r="Z103" s="242">
        <v>0</v>
      </c>
      <c r="AA103" s="242">
        <v>30</v>
      </c>
      <c r="AB103" s="242">
        <v>0</v>
      </c>
      <c r="AC103" s="242">
        <v>30</v>
      </c>
      <c r="AD103" s="192"/>
    </row>
    <row r="104" spans="1:30" ht="21" customHeight="1" thickBot="1">
      <c r="A104" s="214"/>
      <c r="B104" s="215"/>
      <c r="C104" s="251" t="s">
        <v>377</v>
      </c>
      <c r="D104" s="251"/>
      <c r="E104" s="251"/>
      <c r="F104" s="251"/>
      <c r="G104" s="252"/>
      <c r="H104" s="251"/>
      <c r="I104" s="335">
        <v>0</v>
      </c>
      <c r="J104" s="216" t="s">
        <v>305</v>
      </c>
      <c r="K104" s="216"/>
      <c r="L104" s="216"/>
      <c r="M104" s="216"/>
      <c r="N104" s="216"/>
      <c r="O104" s="216"/>
      <c r="P104" s="216"/>
      <c r="Q104" s="216"/>
      <c r="R104" s="335">
        <v>1</v>
      </c>
      <c r="S104" s="216" t="s">
        <v>343</v>
      </c>
      <c r="T104" s="216"/>
      <c r="U104" s="229"/>
      <c r="V104" s="48">
        <f t="shared" si="8"/>
        <v>104</v>
      </c>
      <c r="W104" s="199" t="str">
        <f t="shared" si="9"/>
        <v>✔</v>
      </c>
      <c r="Y104" s="164"/>
      <c r="Z104" s="242">
        <v>0</v>
      </c>
      <c r="AA104" s="242">
        <v>30</v>
      </c>
      <c r="AB104" s="242">
        <v>0</v>
      </c>
      <c r="AC104" s="242">
        <v>30</v>
      </c>
      <c r="AD104" s="192"/>
    </row>
    <row r="105" spans="1:30" ht="21" customHeight="1" thickBot="1">
      <c r="A105" s="214"/>
      <c r="B105" s="215"/>
      <c r="C105" s="251" t="s">
        <v>378</v>
      </c>
      <c r="D105" s="251"/>
      <c r="E105" s="251"/>
      <c r="F105" s="251"/>
      <c r="G105" s="252"/>
      <c r="H105" s="251"/>
      <c r="I105" s="335">
        <v>0</v>
      </c>
      <c r="J105" s="216" t="s">
        <v>305</v>
      </c>
      <c r="K105" s="216"/>
      <c r="L105" s="216"/>
      <c r="M105" s="216"/>
      <c r="N105" s="216"/>
      <c r="O105" s="216"/>
      <c r="P105" s="216"/>
      <c r="Q105" s="216"/>
      <c r="R105" s="335">
        <v>0</v>
      </c>
      <c r="S105" s="216" t="s">
        <v>343</v>
      </c>
      <c r="T105" s="216"/>
      <c r="U105" s="229"/>
      <c r="V105" s="48">
        <f t="shared" si="8"/>
        <v>105</v>
      </c>
      <c r="W105" s="199" t="str">
        <f t="shared" si="9"/>
        <v>✔</v>
      </c>
      <c r="Y105" s="164"/>
      <c r="Z105" s="242">
        <v>0</v>
      </c>
      <c r="AA105" s="242">
        <v>30</v>
      </c>
      <c r="AB105" s="242">
        <v>0</v>
      </c>
      <c r="AC105" s="242">
        <v>30</v>
      </c>
      <c r="AD105" s="192"/>
    </row>
    <row r="106" spans="1:30" ht="21" customHeight="1" thickBot="1">
      <c r="A106" s="214"/>
      <c r="B106" s="215"/>
      <c r="C106" s="251" t="s">
        <v>379</v>
      </c>
      <c r="D106" s="251"/>
      <c r="E106" s="251"/>
      <c r="F106" s="251"/>
      <c r="G106" s="252"/>
      <c r="H106" s="251"/>
      <c r="I106" s="335">
        <v>0.5</v>
      </c>
      <c r="J106" s="216" t="s">
        <v>305</v>
      </c>
      <c r="K106" s="216"/>
      <c r="L106" s="216"/>
      <c r="M106" s="216"/>
      <c r="N106" s="216"/>
      <c r="O106" s="216"/>
      <c r="P106" s="216"/>
      <c r="Q106" s="216"/>
      <c r="R106" s="335">
        <v>3</v>
      </c>
      <c r="S106" s="216" t="s">
        <v>343</v>
      </c>
      <c r="T106" s="216"/>
      <c r="U106" s="229"/>
      <c r="V106" s="48">
        <f t="shared" si="8"/>
        <v>106</v>
      </c>
      <c r="W106" s="199" t="str">
        <f t="shared" si="9"/>
        <v>✔</v>
      </c>
      <c r="Y106" s="164"/>
      <c r="Z106" s="242">
        <v>0</v>
      </c>
      <c r="AA106" s="242">
        <v>30</v>
      </c>
      <c r="AB106" s="242">
        <v>0</v>
      </c>
      <c r="AC106" s="242">
        <v>30</v>
      </c>
      <c r="AD106" s="192"/>
    </row>
    <row r="107" spans="1:30" ht="21" customHeight="1" thickBot="1">
      <c r="A107" s="214"/>
      <c r="B107" s="215"/>
      <c r="C107" s="251" t="s">
        <v>380</v>
      </c>
      <c r="D107" s="251"/>
      <c r="E107" s="251"/>
      <c r="F107" s="251"/>
      <c r="G107" s="252"/>
      <c r="H107" s="251"/>
      <c r="I107" s="335">
        <v>0</v>
      </c>
      <c r="J107" s="216" t="s">
        <v>305</v>
      </c>
      <c r="K107" s="216"/>
      <c r="L107" s="216"/>
      <c r="M107" s="216"/>
      <c r="N107" s="216"/>
      <c r="O107" s="216"/>
      <c r="P107" s="216"/>
      <c r="Q107" s="216"/>
      <c r="R107" s="335">
        <v>4</v>
      </c>
      <c r="S107" s="216" t="s">
        <v>343</v>
      </c>
      <c r="T107" s="216"/>
      <c r="U107" s="229"/>
      <c r="V107" s="48">
        <f t="shared" si="8"/>
        <v>107</v>
      </c>
      <c r="W107" s="199" t="str">
        <f t="shared" ref="W107" si="10">IF(OR(I107="",R107=""),"未入力あり","✔")</f>
        <v>✔</v>
      </c>
      <c r="Y107" s="164"/>
      <c r="Z107" s="242">
        <v>0</v>
      </c>
      <c r="AA107" s="242">
        <v>30</v>
      </c>
      <c r="AB107" s="242">
        <v>0</v>
      </c>
      <c r="AC107" s="242">
        <v>30</v>
      </c>
      <c r="AD107" s="192"/>
    </row>
    <row r="108" spans="1:30" ht="21" customHeight="1" thickBot="1">
      <c r="A108" s="214"/>
      <c r="B108" s="215"/>
      <c r="C108" s="251" t="s">
        <v>381</v>
      </c>
      <c r="D108" s="251"/>
      <c r="E108" s="251"/>
      <c r="F108" s="251"/>
      <c r="G108" s="252"/>
      <c r="H108" s="251"/>
      <c r="I108" s="335">
        <v>0</v>
      </c>
      <c r="J108" s="216" t="s">
        <v>305</v>
      </c>
      <c r="K108" s="216"/>
      <c r="L108" s="216"/>
      <c r="M108" s="216"/>
      <c r="N108" s="216"/>
      <c r="O108" s="216"/>
      <c r="P108" s="216"/>
      <c r="Q108" s="216"/>
      <c r="R108" s="335">
        <v>5</v>
      </c>
      <c r="S108" s="216" t="s">
        <v>343</v>
      </c>
      <c r="T108" s="216"/>
      <c r="U108" s="229"/>
      <c r="V108" s="48">
        <f t="shared" si="8"/>
        <v>108</v>
      </c>
      <c r="W108" s="199" t="str">
        <f t="shared" si="9"/>
        <v>✔</v>
      </c>
      <c r="Y108" s="164"/>
      <c r="Z108" s="242">
        <v>0</v>
      </c>
      <c r="AA108" s="242">
        <v>30</v>
      </c>
      <c r="AB108" s="242">
        <v>0</v>
      </c>
      <c r="AC108" s="242">
        <v>30</v>
      </c>
      <c r="AD108" s="192"/>
    </row>
    <row r="109" spans="1:30" ht="21" customHeight="1" thickBot="1">
      <c r="A109" s="214"/>
      <c r="B109" s="215"/>
      <c r="C109" s="251" t="s">
        <v>382</v>
      </c>
      <c r="D109" s="251"/>
      <c r="E109" s="251"/>
      <c r="F109" s="251"/>
      <c r="G109" s="252"/>
      <c r="H109" s="251"/>
      <c r="I109" s="335">
        <v>0</v>
      </c>
      <c r="J109" s="216" t="s">
        <v>305</v>
      </c>
      <c r="K109" s="216"/>
      <c r="L109" s="216"/>
      <c r="M109" s="216"/>
      <c r="N109" s="216"/>
      <c r="O109" s="216"/>
      <c r="P109" s="216"/>
      <c r="Q109" s="216"/>
      <c r="R109" s="335">
        <v>2</v>
      </c>
      <c r="S109" s="216" t="s">
        <v>343</v>
      </c>
      <c r="T109" s="215"/>
      <c r="U109" s="232"/>
      <c r="V109" s="48">
        <f t="shared" si="8"/>
        <v>109</v>
      </c>
      <c r="W109" s="199" t="str">
        <f t="shared" si="9"/>
        <v>✔</v>
      </c>
      <c r="Y109" s="164"/>
      <c r="Z109" s="242">
        <v>0</v>
      </c>
      <c r="AA109" s="242">
        <v>30</v>
      </c>
      <c r="AB109" s="242">
        <v>0</v>
      </c>
      <c r="AC109" s="242">
        <v>30</v>
      </c>
      <c r="AD109" s="192"/>
    </row>
    <row r="110" spans="1:30" ht="21" customHeight="1" thickBot="1">
      <c r="A110" s="214"/>
      <c r="B110" s="215"/>
      <c r="C110" s="251" t="s">
        <v>383</v>
      </c>
      <c r="D110" s="251"/>
      <c r="E110" s="251"/>
      <c r="F110" s="251"/>
      <c r="G110" s="252"/>
      <c r="H110" s="259"/>
      <c r="I110" s="335">
        <v>0</v>
      </c>
      <c r="J110" s="216" t="s">
        <v>305</v>
      </c>
      <c r="K110" s="216"/>
      <c r="L110" s="216"/>
      <c r="M110" s="216"/>
      <c r="N110" s="216"/>
      <c r="O110" s="216"/>
      <c r="P110" s="216"/>
      <c r="Q110" s="216"/>
      <c r="R110" s="335">
        <v>2</v>
      </c>
      <c r="S110" s="216" t="s">
        <v>343</v>
      </c>
      <c r="T110" s="215"/>
      <c r="U110" s="232"/>
      <c r="V110" s="48">
        <f t="shared" si="8"/>
        <v>110</v>
      </c>
      <c r="W110" s="199" t="str">
        <f t="shared" si="9"/>
        <v>✔</v>
      </c>
      <c r="Y110" s="164"/>
      <c r="Z110" s="242">
        <v>0</v>
      </c>
      <c r="AA110" s="242">
        <v>30</v>
      </c>
      <c r="AB110" s="242">
        <v>0</v>
      </c>
      <c r="AC110" s="242">
        <v>30</v>
      </c>
      <c r="AD110" s="192"/>
    </row>
    <row r="111" spans="1:30" ht="21" customHeight="1" thickBot="1">
      <c r="A111" s="214"/>
      <c r="B111" s="215"/>
      <c r="C111" s="251" t="s">
        <v>384</v>
      </c>
      <c r="D111" s="251"/>
      <c r="E111" s="251"/>
      <c r="F111" s="251"/>
      <c r="G111" s="252"/>
      <c r="H111" s="260"/>
      <c r="I111" s="335">
        <v>0</v>
      </c>
      <c r="J111" s="216" t="s">
        <v>305</v>
      </c>
      <c r="K111" s="216"/>
      <c r="L111" s="216"/>
      <c r="M111" s="216"/>
      <c r="N111" s="216"/>
      <c r="O111" s="216"/>
      <c r="P111" s="216"/>
      <c r="Q111" s="216"/>
      <c r="R111" s="335">
        <v>0</v>
      </c>
      <c r="S111" s="216" t="s">
        <v>343</v>
      </c>
      <c r="T111" s="215"/>
      <c r="U111" s="232"/>
      <c r="V111" s="48">
        <f t="shared" si="8"/>
        <v>111</v>
      </c>
      <c r="W111" s="199" t="str">
        <f t="shared" si="9"/>
        <v>✔</v>
      </c>
      <c r="Y111" s="164"/>
      <c r="Z111" s="242">
        <v>0</v>
      </c>
      <c r="AA111" s="242">
        <v>30</v>
      </c>
      <c r="AB111" s="242">
        <v>0</v>
      </c>
      <c r="AC111" s="242">
        <v>30</v>
      </c>
      <c r="AD111" s="192"/>
    </row>
    <row r="112" spans="1:30" ht="21" customHeight="1" thickBot="1">
      <c r="A112" s="214"/>
      <c r="B112" s="215"/>
      <c r="C112" s="251" t="s">
        <v>385</v>
      </c>
      <c r="D112" s="251"/>
      <c r="E112" s="251"/>
      <c r="F112" s="251"/>
      <c r="G112" s="252"/>
      <c r="H112" s="251"/>
      <c r="I112" s="335">
        <v>0</v>
      </c>
      <c r="J112" s="216" t="s">
        <v>305</v>
      </c>
      <c r="K112" s="251"/>
      <c r="L112" s="216"/>
      <c r="M112" s="216"/>
      <c r="N112" s="216"/>
      <c r="O112" s="216"/>
      <c r="P112" s="216"/>
      <c r="Q112" s="216"/>
      <c r="R112" s="335">
        <v>1</v>
      </c>
      <c r="S112" s="216" t="s">
        <v>343</v>
      </c>
      <c r="T112" s="216"/>
      <c r="U112" s="229"/>
      <c r="V112" s="48">
        <f t="shared" si="8"/>
        <v>112</v>
      </c>
      <c r="W112" s="199" t="str">
        <f t="shared" si="9"/>
        <v>✔</v>
      </c>
      <c r="Y112" s="164"/>
      <c r="Z112" s="242">
        <v>0</v>
      </c>
      <c r="AA112" s="242">
        <v>30</v>
      </c>
      <c r="AB112" s="242">
        <v>0</v>
      </c>
      <c r="AC112" s="242">
        <v>30</v>
      </c>
      <c r="AD112" s="192"/>
    </row>
    <row r="113" spans="1:30" ht="21" customHeight="1" thickBot="1">
      <c r="A113" s="214"/>
      <c r="B113" s="215"/>
      <c r="C113" s="251" t="s">
        <v>386</v>
      </c>
      <c r="D113" s="251"/>
      <c r="E113" s="251"/>
      <c r="F113" s="251"/>
      <c r="G113" s="252"/>
      <c r="H113" s="251"/>
      <c r="I113" s="335">
        <v>0</v>
      </c>
      <c r="J113" s="216" t="s">
        <v>305</v>
      </c>
      <c r="K113" s="216"/>
      <c r="L113" s="216"/>
      <c r="M113" s="216"/>
      <c r="N113" s="216"/>
      <c r="O113" s="216"/>
      <c r="P113" s="216"/>
      <c r="Q113" s="216"/>
      <c r="R113" s="335">
        <v>4</v>
      </c>
      <c r="S113" s="216" t="s">
        <v>343</v>
      </c>
      <c r="T113" s="216"/>
      <c r="U113" s="229"/>
      <c r="V113" s="48">
        <f t="shared" si="8"/>
        <v>113</v>
      </c>
      <c r="W113" s="199" t="str">
        <f t="shared" si="9"/>
        <v>✔</v>
      </c>
      <c r="Y113" s="164"/>
      <c r="Z113" s="242">
        <v>0</v>
      </c>
      <c r="AA113" s="242">
        <v>30</v>
      </c>
      <c r="AB113" s="242">
        <v>0</v>
      </c>
      <c r="AC113" s="242">
        <v>30</v>
      </c>
      <c r="AD113" s="192"/>
    </row>
    <row r="114" spans="1:30" ht="21" customHeight="1" thickBot="1">
      <c r="A114" s="214"/>
      <c r="B114" s="215"/>
      <c r="C114" s="251" t="s">
        <v>387</v>
      </c>
      <c r="D114" s="251"/>
      <c r="E114" s="251"/>
      <c r="F114" s="251"/>
      <c r="G114" s="252"/>
      <c r="H114" s="251"/>
      <c r="I114" s="335">
        <v>0</v>
      </c>
      <c r="J114" s="216" t="s">
        <v>305</v>
      </c>
      <c r="K114" s="216"/>
      <c r="L114" s="216"/>
      <c r="M114" s="216"/>
      <c r="N114" s="216"/>
      <c r="O114" s="216"/>
      <c r="P114" s="216"/>
      <c r="Q114" s="216"/>
      <c r="R114" s="335">
        <v>3</v>
      </c>
      <c r="S114" s="216" t="s">
        <v>343</v>
      </c>
      <c r="T114" s="216"/>
      <c r="U114" s="229"/>
      <c r="V114" s="48">
        <f t="shared" si="8"/>
        <v>114</v>
      </c>
      <c r="W114" s="199" t="str">
        <f t="shared" si="9"/>
        <v>✔</v>
      </c>
      <c r="Y114" s="164"/>
      <c r="Z114" s="242">
        <v>0</v>
      </c>
      <c r="AA114" s="242">
        <v>30</v>
      </c>
      <c r="AB114" s="242">
        <v>0</v>
      </c>
      <c r="AC114" s="242">
        <v>30</v>
      </c>
      <c r="AD114" s="192"/>
    </row>
    <row r="115" spans="1:30" ht="21" customHeight="1" thickBot="1">
      <c r="A115" s="214"/>
      <c r="B115" s="215"/>
      <c r="C115" s="251" t="s">
        <v>388</v>
      </c>
      <c r="D115" s="251"/>
      <c r="E115" s="251"/>
      <c r="F115" s="251"/>
      <c r="G115" s="252"/>
      <c r="H115" s="251"/>
      <c r="I115" s="335">
        <v>0</v>
      </c>
      <c r="J115" s="216" t="s">
        <v>305</v>
      </c>
      <c r="K115" s="216"/>
      <c r="L115" s="216"/>
      <c r="M115" s="216"/>
      <c r="N115" s="216"/>
      <c r="O115" s="216"/>
      <c r="P115" s="216"/>
      <c r="Q115" s="216"/>
      <c r="R115" s="335">
        <v>1</v>
      </c>
      <c r="S115" s="216" t="s">
        <v>343</v>
      </c>
      <c r="T115" s="216"/>
      <c r="U115" s="229"/>
      <c r="V115" s="48">
        <f t="shared" si="8"/>
        <v>115</v>
      </c>
      <c r="W115" s="199" t="str">
        <f t="shared" si="9"/>
        <v>✔</v>
      </c>
      <c r="Y115" s="164"/>
      <c r="Z115" s="242">
        <v>0</v>
      </c>
      <c r="AA115" s="242">
        <v>30</v>
      </c>
      <c r="AB115" s="242">
        <v>0</v>
      </c>
      <c r="AC115" s="242">
        <v>30</v>
      </c>
      <c r="AD115" s="192"/>
    </row>
    <row r="116" spans="1:30" ht="21" customHeight="1" thickBot="1">
      <c r="A116" s="214"/>
      <c r="B116" s="215"/>
      <c r="C116" s="251" t="s">
        <v>389</v>
      </c>
      <c r="D116" s="251"/>
      <c r="E116" s="251"/>
      <c r="F116" s="251"/>
      <c r="G116" s="252"/>
      <c r="H116" s="251"/>
      <c r="I116" s="335">
        <v>0</v>
      </c>
      <c r="J116" s="216" t="s">
        <v>305</v>
      </c>
      <c r="K116" s="216"/>
      <c r="L116" s="216"/>
      <c r="M116" s="216"/>
      <c r="N116" s="216"/>
      <c r="O116" s="216"/>
      <c r="P116" s="216"/>
      <c r="Q116" s="216"/>
      <c r="R116" s="335">
        <v>0</v>
      </c>
      <c r="S116" s="216" t="s">
        <v>343</v>
      </c>
      <c r="T116" s="216"/>
      <c r="U116" s="229"/>
      <c r="V116" s="48">
        <f t="shared" si="8"/>
        <v>116</v>
      </c>
      <c r="W116" s="199" t="str">
        <f t="shared" si="9"/>
        <v>✔</v>
      </c>
      <c r="Y116" s="164"/>
      <c r="Z116" s="242">
        <v>0</v>
      </c>
      <c r="AA116" s="242">
        <v>30</v>
      </c>
      <c r="AB116" s="242">
        <v>0</v>
      </c>
      <c r="AC116" s="242">
        <v>30</v>
      </c>
      <c r="AD116" s="192"/>
    </row>
    <row r="117" spans="1:30" ht="21" customHeight="1" thickBot="1">
      <c r="A117" s="214"/>
      <c r="B117" s="215"/>
      <c r="C117" s="251" t="s">
        <v>390</v>
      </c>
      <c r="D117" s="251"/>
      <c r="E117" s="251"/>
      <c r="F117" s="251"/>
      <c r="G117" s="252"/>
      <c r="H117" s="251"/>
      <c r="I117" s="335">
        <v>0</v>
      </c>
      <c r="J117" s="216" t="s">
        <v>305</v>
      </c>
      <c r="K117" s="216"/>
      <c r="L117" s="216"/>
      <c r="M117" s="216"/>
      <c r="N117" s="216"/>
      <c r="O117" s="216"/>
      <c r="P117" s="216"/>
      <c r="Q117" s="216"/>
      <c r="R117" s="335">
        <v>3</v>
      </c>
      <c r="S117" s="216" t="s">
        <v>343</v>
      </c>
      <c r="T117" s="216"/>
      <c r="U117" s="229"/>
      <c r="V117" s="48">
        <f t="shared" si="8"/>
        <v>117</v>
      </c>
      <c r="W117" s="199" t="str">
        <f t="shared" si="9"/>
        <v>✔</v>
      </c>
      <c r="Y117" s="164"/>
      <c r="Z117" s="242">
        <v>0</v>
      </c>
      <c r="AA117" s="242">
        <v>30</v>
      </c>
      <c r="AB117" s="242">
        <v>0</v>
      </c>
      <c r="AC117" s="242">
        <v>30</v>
      </c>
      <c r="AD117" s="192"/>
    </row>
    <row r="118" spans="1:30" ht="21" customHeight="1" thickBot="1">
      <c r="A118" s="214"/>
      <c r="B118" s="215"/>
      <c r="C118" s="251" t="s">
        <v>391</v>
      </c>
      <c r="D118" s="251"/>
      <c r="E118" s="251"/>
      <c r="F118" s="251"/>
      <c r="G118" s="252"/>
      <c r="H118" s="251"/>
      <c r="I118" s="335">
        <v>0</v>
      </c>
      <c r="J118" s="216" t="s">
        <v>305</v>
      </c>
      <c r="K118" s="216"/>
      <c r="L118" s="216"/>
      <c r="M118" s="216"/>
      <c r="N118" s="216"/>
      <c r="O118" s="216"/>
      <c r="P118" s="216"/>
      <c r="Q118" s="216"/>
      <c r="R118" s="335">
        <v>0</v>
      </c>
      <c r="S118" s="216" t="s">
        <v>343</v>
      </c>
      <c r="T118" s="216"/>
      <c r="U118" s="229"/>
      <c r="V118" s="48">
        <f t="shared" si="8"/>
        <v>118</v>
      </c>
      <c r="W118" s="199" t="str">
        <f t="shared" si="9"/>
        <v>✔</v>
      </c>
      <c r="Y118" s="164"/>
      <c r="Z118" s="242">
        <v>0</v>
      </c>
      <c r="AA118" s="242">
        <v>30</v>
      </c>
      <c r="AB118" s="242">
        <v>0</v>
      </c>
      <c r="AC118" s="242">
        <v>30</v>
      </c>
      <c r="AD118" s="192"/>
    </row>
    <row r="119" spans="1:30" ht="21" customHeight="1" thickBot="1">
      <c r="A119" s="214"/>
      <c r="B119" s="215"/>
      <c r="C119" s="251" t="s">
        <v>392</v>
      </c>
      <c r="D119" s="251"/>
      <c r="E119" s="251"/>
      <c r="F119" s="251"/>
      <c r="G119" s="252"/>
      <c r="H119" s="251"/>
      <c r="I119" s="335">
        <v>0</v>
      </c>
      <c r="J119" s="216" t="s">
        <v>305</v>
      </c>
      <c r="K119" s="216"/>
      <c r="L119" s="216"/>
      <c r="M119" s="216"/>
      <c r="N119" s="216"/>
      <c r="O119" s="216"/>
      <c r="P119" s="216"/>
      <c r="Q119" s="216"/>
      <c r="R119" s="335">
        <v>0</v>
      </c>
      <c r="S119" s="216" t="s">
        <v>343</v>
      </c>
      <c r="T119" s="216"/>
      <c r="U119" s="229"/>
      <c r="V119" s="48">
        <f t="shared" si="8"/>
        <v>119</v>
      </c>
      <c r="W119" s="199" t="str">
        <f t="shared" ref="W119" si="11">IF(OR(I119="",R119=""),"未入力あり","✔")</f>
        <v>✔</v>
      </c>
      <c r="Y119" s="164"/>
      <c r="Z119" s="242">
        <v>0</v>
      </c>
      <c r="AA119" s="242">
        <v>30</v>
      </c>
      <c r="AB119" s="242">
        <v>0</v>
      </c>
      <c r="AC119" s="242">
        <v>30</v>
      </c>
      <c r="AD119" s="192"/>
    </row>
    <row r="120" spans="1:30" ht="21" customHeight="1" thickBot="1">
      <c r="A120" s="214"/>
      <c r="B120" s="215"/>
      <c r="C120" s="251" t="s">
        <v>393</v>
      </c>
      <c r="D120" s="251"/>
      <c r="E120" s="251"/>
      <c r="F120" s="251"/>
      <c r="G120" s="252"/>
      <c r="H120" s="251"/>
      <c r="I120" s="335">
        <v>0</v>
      </c>
      <c r="J120" s="216" t="s">
        <v>305</v>
      </c>
      <c r="K120" s="216"/>
      <c r="L120" s="216"/>
      <c r="M120" s="216"/>
      <c r="N120" s="216"/>
      <c r="O120" s="216"/>
      <c r="P120" s="216"/>
      <c r="Q120" s="216"/>
      <c r="R120" s="335">
        <v>1</v>
      </c>
      <c r="S120" s="216" t="s">
        <v>343</v>
      </c>
      <c r="T120" s="216"/>
      <c r="U120" s="229"/>
      <c r="V120" s="48">
        <f t="shared" si="8"/>
        <v>120</v>
      </c>
      <c r="W120" s="199" t="str">
        <f t="shared" si="9"/>
        <v>✔</v>
      </c>
      <c r="Y120" s="164"/>
      <c r="Z120" s="242">
        <v>0</v>
      </c>
      <c r="AA120" s="242">
        <v>30</v>
      </c>
      <c r="AB120" s="242">
        <v>0</v>
      </c>
      <c r="AC120" s="242">
        <v>30</v>
      </c>
      <c r="AD120" s="192"/>
    </row>
    <row r="121" spans="1:30" ht="21" customHeight="1" thickBot="1">
      <c r="A121" s="214"/>
      <c r="B121" s="215"/>
      <c r="C121" s="251" t="s">
        <v>394</v>
      </c>
      <c r="D121" s="251"/>
      <c r="E121" s="251"/>
      <c r="F121" s="251"/>
      <c r="G121" s="252"/>
      <c r="H121" s="251"/>
      <c r="I121" s="335">
        <v>0</v>
      </c>
      <c r="J121" s="216" t="s">
        <v>305</v>
      </c>
      <c r="K121" s="216"/>
      <c r="L121" s="216"/>
      <c r="M121" s="216"/>
      <c r="N121" s="216"/>
      <c r="O121" s="216"/>
      <c r="P121" s="216"/>
      <c r="Q121" s="216"/>
      <c r="R121" s="335">
        <v>0</v>
      </c>
      <c r="S121" s="216" t="s">
        <v>343</v>
      </c>
      <c r="T121" s="216"/>
      <c r="U121" s="229"/>
      <c r="V121" s="48">
        <f t="shared" si="8"/>
        <v>121</v>
      </c>
      <c r="W121" s="199" t="str">
        <f t="shared" si="9"/>
        <v>✔</v>
      </c>
      <c r="Y121" s="164"/>
      <c r="Z121" s="242">
        <v>0</v>
      </c>
      <c r="AA121" s="242">
        <v>30</v>
      </c>
      <c r="AB121" s="242">
        <v>0</v>
      </c>
      <c r="AC121" s="242">
        <v>30</v>
      </c>
      <c r="AD121" s="192"/>
    </row>
    <row r="122" spans="1:30" ht="21" customHeight="1" thickBot="1">
      <c r="A122" s="214"/>
      <c r="B122" s="215"/>
      <c r="C122" s="251" t="s">
        <v>395</v>
      </c>
      <c r="D122" s="251"/>
      <c r="E122" s="251"/>
      <c r="F122" s="251"/>
      <c r="G122" s="252"/>
      <c r="H122" s="251"/>
      <c r="I122" s="335">
        <v>0</v>
      </c>
      <c r="J122" s="216" t="s">
        <v>305</v>
      </c>
      <c r="K122" s="216"/>
      <c r="L122" s="216"/>
      <c r="M122" s="216"/>
      <c r="N122" s="216"/>
      <c r="O122" s="216"/>
      <c r="P122" s="216"/>
      <c r="Q122" s="216"/>
      <c r="R122" s="335">
        <v>1</v>
      </c>
      <c r="S122" s="216" t="s">
        <v>343</v>
      </c>
      <c r="T122" s="216"/>
      <c r="U122" s="229"/>
      <c r="V122" s="48">
        <f t="shared" si="8"/>
        <v>122</v>
      </c>
      <c r="W122" s="199" t="str">
        <f t="shared" si="9"/>
        <v>✔</v>
      </c>
      <c r="Y122" s="164"/>
      <c r="Z122" s="242">
        <v>0</v>
      </c>
      <c r="AA122" s="242">
        <v>30</v>
      </c>
      <c r="AB122" s="242">
        <v>0</v>
      </c>
      <c r="AC122" s="242">
        <v>30</v>
      </c>
      <c r="AD122" s="192"/>
    </row>
    <row r="123" spans="1:30" ht="21" customHeight="1" thickBot="1">
      <c r="A123" s="214"/>
      <c r="B123" s="215"/>
      <c r="C123" s="251" t="s">
        <v>396</v>
      </c>
      <c r="D123" s="251"/>
      <c r="E123" s="251"/>
      <c r="F123" s="251"/>
      <c r="G123" s="252"/>
      <c r="H123" s="251"/>
      <c r="I123" s="335">
        <v>0</v>
      </c>
      <c r="J123" s="216" t="s">
        <v>305</v>
      </c>
      <c r="K123" s="216"/>
      <c r="L123" s="216"/>
      <c r="M123" s="216"/>
      <c r="N123" s="216"/>
      <c r="O123" s="216"/>
      <c r="P123" s="216"/>
      <c r="Q123" s="216"/>
      <c r="R123" s="335">
        <v>0</v>
      </c>
      <c r="S123" s="216" t="s">
        <v>343</v>
      </c>
      <c r="T123" s="216"/>
      <c r="U123" s="229"/>
      <c r="V123" s="48">
        <f t="shared" si="8"/>
        <v>123</v>
      </c>
      <c r="W123" s="199" t="str">
        <f t="shared" si="9"/>
        <v>✔</v>
      </c>
      <c r="Y123" s="164"/>
      <c r="Z123" s="242">
        <v>0</v>
      </c>
      <c r="AA123" s="242">
        <v>30</v>
      </c>
      <c r="AB123" s="242">
        <v>0</v>
      </c>
      <c r="AC123" s="242">
        <v>30</v>
      </c>
      <c r="AD123" s="192"/>
    </row>
    <row r="124" spans="1:30" ht="21" customHeight="1" thickBot="1">
      <c r="A124" s="214"/>
      <c r="B124" s="215"/>
      <c r="C124" s="251" t="s">
        <v>397</v>
      </c>
      <c r="D124" s="251"/>
      <c r="E124" s="251"/>
      <c r="F124" s="251"/>
      <c r="G124" s="252"/>
      <c r="H124" s="251"/>
      <c r="I124" s="335">
        <v>0</v>
      </c>
      <c r="J124" s="216" t="s">
        <v>305</v>
      </c>
      <c r="K124" s="216"/>
      <c r="L124" s="216"/>
      <c r="M124" s="216"/>
      <c r="N124" s="216"/>
      <c r="O124" s="216"/>
      <c r="P124" s="216"/>
      <c r="Q124" s="216"/>
      <c r="R124" s="335">
        <v>0</v>
      </c>
      <c r="S124" s="216" t="s">
        <v>343</v>
      </c>
      <c r="T124" s="216"/>
      <c r="U124" s="229"/>
      <c r="V124" s="48">
        <f t="shared" si="8"/>
        <v>124</v>
      </c>
      <c r="W124" s="199" t="str">
        <f t="shared" si="9"/>
        <v>✔</v>
      </c>
      <c r="Y124" s="164"/>
      <c r="Z124" s="242">
        <v>0</v>
      </c>
      <c r="AA124" s="242">
        <v>30</v>
      </c>
      <c r="AB124" s="242">
        <v>0</v>
      </c>
      <c r="AC124" s="242">
        <v>30</v>
      </c>
      <c r="AD124" s="192"/>
    </row>
    <row r="125" spans="1:30" ht="21" customHeight="1" thickBot="1">
      <c r="A125" s="214"/>
      <c r="B125" s="215"/>
      <c r="C125" s="251" t="s">
        <v>398</v>
      </c>
      <c r="D125" s="251"/>
      <c r="E125" s="251"/>
      <c r="F125" s="251"/>
      <c r="G125" s="252"/>
      <c r="H125" s="251"/>
      <c r="I125" s="335">
        <v>0</v>
      </c>
      <c r="J125" s="216" t="s">
        <v>305</v>
      </c>
      <c r="K125" s="216"/>
      <c r="L125" s="216"/>
      <c r="M125" s="216"/>
      <c r="N125" s="216"/>
      <c r="O125" s="216"/>
      <c r="P125" s="216"/>
      <c r="Q125" s="216"/>
      <c r="R125" s="335">
        <v>0</v>
      </c>
      <c r="S125" s="216" t="s">
        <v>343</v>
      </c>
      <c r="T125" s="216"/>
      <c r="U125" s="229"/>
      <c r="V125" s="48">
        <f t="shared" si="8"/>
        <v>125</v>
      </c>
      <c r="W125" s="199" t="str">
        <f t="shared" si="9"/>
        <v>✔</v>
      </c>
      <c r="Y125" s="164"/>
      <c r="Z125" s="242">
        <v>0</v>
      </c>
      <c r="AA125" s="242">
        <v>30</v>
      </c>
      <c r="AB125" s="242">
        <v>0</v>
      </c>
      <c r="AC125" s="242">
        <v>30</v>
      </c>
      <c r="AD125" s="192"/>
    </row>
    <row r="126" spans="1:30" ht="21" customHeight="1" thickBot="1">
      <c r="A126" s="214"/>
      <c r="B126" s="215"/>
      <c r="C126" s="251" t="s">
        <v>399</v>
      </c>
      <c r="D126" s="251"/>
      <c r="E126" s="251"/>
      <c r="F126" s="251"/>
      <c r="G126" s="252"/>
      <c r="H126" s="251"/>
      <c r="I126" s="335">
        <v>0</v>
      </c>
      <c r="J126" s="216" t="s">
        <v>305</v>
      </c>
      <c r="K126" s="216"/>
      <c r="L126" s="216"/>
      <c r="M126" s="216"/>
      <c r="N126" s="216"/>
      <c r="O126" s="216"/>
      <c r="P126" s="216"/>
      <c r="Q126" s="216"/>
      <c r="R126" s="335">
        <v>5</v>
      </c>
      <c r="S126" s="216" t="s">
        <v>343</v>
      </c>
      <c r="T126" s="216"/>
      <c r="U126" s="229"/>
      <c r="V126" s="48">
        <f t="shared" si="8"/>
        <v>126</v>
      </c>
      <c r="W126" s="199" t="str">
        <f t="shared" si="9"/>
        <v>✔</v>
      </c>
      <c r="Y126" s="164"/>
      <c r="Z126" s="242">
        <v>0</v>
      </c>
      <c r="AA126" s="242">
        <v>30</v>
      </c>
      <c r="AB126" s="242">
        <v>0</v>
      </c>
      <c r="AC126" s="242">
        <v>30</v>
      </c>
      <c r="AD126" s="192"/>
    </row>
    <row r="127" spans="1:30" ht="21" customHeight="1" thickBot="1">
      <c r="A127" s="214"/>
      <c r="B127" s="215"/>
      <c r="C127" s="251" t="s">
        <v>400</v>
      </c>
      <c r="D127" s="251"/>
      <c r="E127" s="251"/>
      <c r="F127" s="251"/>
      <c r="G127" s="252"/>
      <c r="H127" s="251"/>
      <c r="I127" s="335">
        <v>0</v>
      </c>
      <c r="J127" s="216" t="s">
        <v>305</v>
      </c>
      <c r="K127" s="216"/>
      <c r="L127" s="216"/>
      <c r="M127" s="216"/>
      <c r="N127" s="216"/>
      <c r="O127" s="216"/>
      <c r="P127" s="216"/>
      <c r="Q127" s="216"/>
      <c r="R127" s="335">
        <v>1</v>
      </c>
      <c r="S127" s="216" t="s">
        <v>343</v>
      </c>
      <c r="T127" s="216"/>
      <c r="U127" s="229"/>
      <c r="V127" s="48">
        <f t="shared" si="8"/>
        <v>127</v>
      </c>
      <c r="W127" s="199" t="str">
        <f t="shared" si="9"/>
        <v>✔</v>
      </c>
      <c r="Y127" s="164"/>
      <c r="Z127" s="242">
        <v>0</v>
      </c>
      <c r="AA127" s="242">
        <v>30</v>
      </c>
      <c r="AB127" s="242">
        <v>0</v>
      </c>
      <c r="AC127" s="242">
        <v>30</v>
      </c>
      <c r="AD127" s="192"/>
    </row>
    <row r="128" spans="1:30" ht="21" customHeight="1" thickBot="1">
      <c r="A128" s="214"/>
      <c r="B128" s="215"/>
      <c r="C128" s="251" t="s">
        <v>401</v>
      </c>
      <c r="D128" s="251"/>
      <c r="E128" s="251"/>
      <c r="F128" s="251"/>
      <c r="G128" s="252"/>
      <c r="H128" s="251"/>
      <c r="I128" s="335">
        <v>0</v>
      </c>
      <c r="J128" s="216" t="s">
        <v>305</v>
      </c>
      <c r="K128" s="216"/>
      <c r="L128" s="216"/>
      <c r="M128" s="216"/>
      <c r="N128" s="216"/>
      <c r="O128" s="216"/>
      <c r="P128" s="216"/>
      <c r="Q128" s="216"/>
      <c r="R128" s="335">
        <v>1</v>
      </c>
      <c r="S128" s="216" t="s">
        <v>343</v>
      </c>
      <c r="T128" s="216"/>
      <c r="U128" s="229"/>
      <c r="V128" s="48">
        <f t="shared" si="8"/>
        <v>128</v>
      </c>
      <c r="W128" s="199" t="str">
        <f t="shared" si="9"/>
        <v>✔</v>
      </c>
      <c r="Y128" s="164"/>
      <c r="Z128" s="242">
        <v>0</v>
      </c>
      <c r="AA128" s="242">
        <v>30</v>
      </c>
      <c r="AB128" s="242">
        <v>0</v>
      </c>
      <c r="AC128" s="242">
        <v>30</v>
      </c>
      <c r="AD128" s="192"/>
    </row>
    <row r="129" spans="1:30" ht="21" customHeight="1" thickBot="1">
      <c r="A129" s="214"/>
      <c r="B129" s="215"/>
      <c r="C129" s="251" t="s">
        <v>402</v>
      </c>
      <c r="D129" s="251"/>
      <c r="E129" s="251"/>
      <c r="F129" s="251"/>
      <c r="G129" s="252"/>
      <c r="H129" s="251"/>
      <c r="I129" s="335">
        <v>0</v>
      </c>
      <c r="J129" s="216" t="s">
        <v>305</v>
      </c>
      <c r="K129" s="216"/>
      <c r="L129" s="216"/>
      <c r="M129" s="216"/>
      <c r="N129" s="216"/>
      <c r="O129" s="216"/>
      <c r="P129" s="216"/>
      <c r="Q129" s="216"/>
      <c r="R129" s="335">
        <v>0</v>
      </c>
      <c r="S129" s="216" t="s">
        <v>343</v>
      </c>
      <c r="T129" s="216"/>
      <c r="U129" s="229"/>
      <c r="V129" s="48">
        <f t="shared" si="8"/>
        <v>129</v>
      </c>
      <c r="W129" s="199" t="str">
        <f t="shared" si="9"/>
        <v>✔</v>
      </c>
      <c r="Y129" s="164"/>
      <c r="Z129" s="242">
        <v>0</v>
      </c>
      <c r="AA129" s="242">
        <v>30</v>
      </c>
      <c r="AB129" s="242">
        <v>0</v>
      </c>
      <c r="AC129" s="242">
        <v>30</v>
      </c>
      <c r="AD129" s="192"/>
    </row>
    <row r="130" spans="1:30" ht="21" customHeight="1" thickBot="1">
      <c r="A130" s="214"/>
      <c r="B130" s="215"/>
      <c r="C130" s="251" t="s">
        <v>403</v>
      </c>
      <c r="D130" s="251"/>
      <c r="E130" s="251"/>
      <c r="F130" s="251"/>
      <c r="G130" s="252"/>
      <c r="H130" s="251"/>
      <c r="I130" s="335">
        <v>0.7</v>
      </c>
      <c r="J130" s="216" t="s">
        <v>305</v>
      </c>
      <c r="K130" s="216"/>
      <c r="L130" s="216"/>
      <c r="M130" s="216"/>
      <c r="N130" s="216"/>
      <c r="O130" s="216"/>
      <c r="P130" s="216"/>
      <c r="Q130" s="216"/>
      <c r="R130" s="335">
        <v>0</v>
      </c>
      <c r="S130" s="216" t="s">
        <v>343</v>
      </c>
      <c r="T130" s="216"/>
      <c r="U130" s="229"/>
      <c r="V130" s="48">
        <f t="shared" si="8"/>
        <v>130</v>
      </c>
      <c r="W130" s="199" t="str">
        <f t="shared" si="9"/>
        <v>✔</v>
      </c>
      <c r="Y130" s="164"/>
      <c r="Z130" s="242">
        <v>0</v>
      </c>
      <c r="AA130" s="242">
        <v>30</v>
      </c>
      <c r="AB130" s="242">
        <v>0</v>
      </c>
      <c r="AC130" s="242">
        <v>30</v>
      </c>
      <c r="AD130" s="192"/>
    </row>
    <row r="131" spans="1:30" ht="21" customHeight="1" thickBot="1">
      <c r="A131" s="214"/>
      <c r="B131" s="215"/>
      <c r="C131" s="251" t="s">
        <v>404</v>
      </c>
      <c r="D131" s="251"/>
      <c r="E131" s="251"/>
      <c r="F131" s="251"/>
      <c r="G131" s="252"/>
      <c r="H131" s="251"/>
      <c r="I131" s="335">
        <v>0</v>
      </c>
      <c r="J131" s="216" t="s">
        <v>305</v>
      </c>
      <c r="K131" s="216"/>
      <c r="L131" s="216"/>
      <c r="M131" s="216"/>
      <c r="N131" s="216"/>
      <c r="O131" s="216"/>
      <c r="P131" s="216"/>
      <c r="Q131" s="216"/>
      <c r="R131" s="335">
        <v>0</v>
      </c>
      <c r="S131" s="216" t="s">
        <v>343</v>
      </c>
      <c r="T131" s="216"/>
      <c r="U131" s="229"/>
      <c r="V131" s="48">
        <f t="shared" si="8"/>
        <v>131</v>
      </c>
      <c r="W131" s="199" t="str">
        <f t="shared" si="9"/>
        <v>✔</v>
      </c>
      <c r="Y131" s="164"/>
      <c r="Z131" s="242">
        <v>0</v>
      </c>
      <c r="AA131" s="242">
        <v>30</v>
      </c>
      <c r="AB131" s="242">
        <v>0</v>
      </c>
      <c r="AC131" s="242">
        <v>30</v>
      </c>
      <c r="AD131" s="192"/>
    </row>
    <row r="132" spans="1:30" ht="21" customHeight="1" thickBot="1">
      <c r="A132" s="214"/>
      <c r="B132" s="215"/>
      <c r="C132" s="251" t="s">
        <v>405</v>
      </c>
      <c r="D132" s="251"/>
      <c r="E132" s="251"/>
      <c r="F132" s="251"/>
      <c r="G132" s="252"/>
      <c r="H132" s="251"/>
      <c r="I132" s="335">
        <v>0.6</v>
      </c>
      <c r="J132" s="216" t="s">
        <v>305</v>
      </c>
      <c r="K132" s="216"/>
      <c r="L132" s="216"/>
      <c r="M132" s="216"/>
      <c r="N132" s="216"/>
      <c r="O132" s="216"/>
      <c r="P132" s="216"/>
      <c r="Q132" s="216"/>
      <c r="R132" s="335">
        <v>12</v>
      </c>
      <c r="S132" s="216" t="s">
        <v>343</v>
      </c>
      <c r="T132" s="216"/>
      <c r="U132" s="229"/>
      <c r="V132" s="48">
        <f t="shared" si="8"/>
        <v>132</v>
      </c>
      <c r="W132" s="199" t="str">
        <f t="shared" si="9"/>
        <v>✔</v>
      </c>
      <c r="Y132" s="164"/>
      <c r="Z132" s="242">
        <v>0</v>
      </c>
      <c r="AA132" s="242">
        <v>30</v>
      </c>
      <c r="AB132" s="242">
        <v>0</v>
      </c>
      <c r="AC132" s="253">
        <v>70</v>
      </c>
      <c r="AD132" s="192"/>
    </row>
    <row r="133" spans="1:30" ht="21" customHeight="1" thickBot="1">
      <c r="A133" s="214"/>
      <c r="B133" s="215"/>
      <c r="C133" s="251" t="s">
        <v>406</v>
      </c>
      <c r="D133" s="251"/>
      <c r="E133" s="251"/>
      <c r="F133" s="251"/>
      <c r="G133" s="252"/>
      <c r="H133" s="251"/>
      <c r="I133" s="335">
        <v>0</v>
      </c>
      <c r="J133" s="216" t="s">
        <v>305</v>
      </c>
      <c r="K133" s="216"/>
      <c r="L133" s="216"/>
      <c r="M133" s="216"/>
      <c r="N133" s="216"/>
      <c r="O133" s="216"/>
      <c r="P133" s="216"/>
      <c r="Q133" s="216"/>
      <c r="R133" s="335">
        <v>3</v>
      </c>
      <c r="S133" s="216" t="s">
        <v>343</v>
      </c>
      <c r="T133" s="216"/>
      <c r="U133" s="229"/>
      <c r="V133" s="48">
        <f t="shared" si="8"/>
        <v>133</v>
      </c>
      <c r="W133" s="199" t="str">
        <f t="shared" si="9"/>
        <v>✔</v>
      </c>
      <c r="Y133" s="164"/>
      <c r="Z133" s="242">
        <v>0</v>
      </c>
      <c r="AA133" s="242">
        <v>30</v>
      </c>
      <c r="AB133" s="242">
        <v>0</v>
      </c>
      <c r="AC133" s="242">
        <v>30</v>
      </c>
      <c r="AD133" s="192"/>
    </row>
    <row r="134" spans="1:30" ht="21" customHeight="1" thickBot="1">
      <c r="A134" s="214"/>
      <c r="B134" s="215"/>
      <c r="C134" s="251" t="s">
        <v>407</v>
      </c>
      <c r="D134" s="251"/>
      <c r="E134" s="251"/>
      <c r="F134" s="251"/>
      <c r="G134" s="252"/>
      <c r="H134" s="251"/>
      <c r="I134" s="335">
        <v>0</v>
      </c>
      <c r="J134" s="216" t="s">
        <v>305</v>
      </c>
      <c r="K134" s="216"/>
      <c r="L134" s="216"/>
      <c r="M134" s="216"/>
      <c r="N134" s="216"/>
      <c r="O134" s="216"/>
      <c r="P134" s="216"/>
      <c r="Q134" s="216"/>
      <c r="R134" s="335">
        <v>0</v>
      </c>
      <c r="S134" s="216" t="s">
        <v>343</v>
      </c>
      <c r="T134" s="216"/>
      <c r="U134" s="229"/>
      <c r="V134" s="48">
        <f t="shared" si="8"/>
        <v>134</v>
      </c>
      <c r="W134" s="199" t="str">
        <f t="shared" si="9"/>
        <v>✔</v>
      </c>
      <c r="Y134" s="164"/>
      <c r="Z134" s="242">
        <v>0</v>
      </c>
      <c r="AA134" s="242">
        <v>30</v>
      </c>
      <c r="AB134" s="242">
        <v>0</v>
      </c>
      <c r="AC134" s="242">
        <v>30</v>
      </c>
      <c r="AD134" s="192"/>
    </row>
    <row r="135" spans="1:30" ht="21" customHeight="1" thickBot="1">
      <c r="A135" s="214"/>
      <c r="B135" s="215"/>
      <c r="C135" s="251" t="s">
        <v>408</v>
      </c>
      <c r="D135" s="251"/>
      <c r="E135" s="251"/>
      <c r="F135" s="251"/>
      <c r="G135" s="252"/>
      <c r="H135" s="251"/>
      <c r="I135" s="335">
        <v>0</v>
      </c>
      <c r="J135" s="216" t="s">
        <v>305</v>
      </c>
      <c r="K135" s="216"/>
      <c r="L135" s="216"/>
      <c r="M135" s="216"/>
      <c r="N135" s="216"/>
      <c r="O135" s="216"/>
      <c r="P135" s="216"/>
      <c r="Q135" s="216"/>
      <c r="R135" s="335">
        <v>4</v>
      </c>
      <c r="S135" s="216" t="s">
        <v>343</v>
      </c>
      <c r="T135" s="216"/>
      <c r="U135" s="229"/>
      <c r="V135" s="48">
        <f t="shared" si="8"/>
        <v>135</v>
      </c>
      <c r="W135" s="199" t="str">
        <f t="shared" si="9"/>
        <v>✔</v>
      </c>
      <c r="Y135" s="164"/>
      <c r="Z135" s="242">
        <v>0</v>
      </c>
      <c r="AA135" s="242">
        <v>30</v>
      </c>
      <c r="AB135" s="242">
        <v>0</v>
      </c>
      <c r="AC135" s="242">
        <v>30</v>
      </c>
      <c r="AD135" s="192"/>
    </row>
    <row r="136" spans="1:30" ht="21" customHeight="1" thickBot="1">
      <c r="A136" s="214"/>
      <c r="B136" s="215"/>
      <c r="C136" s="251" t="s">
        <v>409</v>
      </c>
      <c r="D136" s="251"/>
      <c r="E136" s="251"/>
      <c r="F136" s="251"/>
      <c r="G136" s="252"/>
      <c r="H136" s="251"/>
      <c r="I136" s="335">
        <v>0</v>
      </c>
      <c r="J136" s="216" t="s">
        <v>305</v>
      </c>
      <c r="K136" s="216"/>
      <c r="L136" s="216"/>
      <c r="M136" s="216"/>
      <c r="N136" s="216"/>
      <c r="O136" s="216"/>
      <c r="P136" s="216"/>
      <c r="Q136" s="216"/>
      <c r="R136" s="335">
        <v>7</v>
      </c>
      <c r="S136" s="216" t="s">
        <v>343</v>
      </c>
      <c r="T136" s="216"/>
      <c r="U136" s="229"/>
      <c r="V136" s="48">
        <f t="shared" si="8"/>
        <v>136</v>
      </c>
      <c r="W136" s="199" t="str">
        <f t="shared" ref="W136:W149" si="12">IF(OR(I136="",R136=""),"未入力あり","✔")</f>
        <v>✔</v>
      </c>
      <c r="Y136" s="164"/>
      <c r="Z136" s="242">
        <v>0</v>
      </c>
      <c r="AA136" s="242">
        <v>30</v>
      </c>
      <c r="AB136" s="242">
        <v>0</v>
      </c>
      <c r="AC136" s="242">
        <v>30</v>
      </c>
      <c r="AD136" s="192"/>
    </row>
    <row r="137" spans="1:30" ht="21" customHeight="1" thickBot="1">
      <c r="A137" s="214"/>
      <c r="B137" s="215"/>
      <c r="C137" s="251" t="s">
        <v>410</v>
      </c>
      <c r="D137" s="251"/>
      <c r="E137" s="251"/>
      <c r="F137" s="251"/>
      <c r="G137" s="252"/>
      <c r="H137" s="251"/>
      <c r="I137" s="335">
        <v>0</v>
      </c>
      <c r="J137" s="216" t="s">
        <v>305</v>
      </c>
      <c r="K137" s="216"/>
      <c r="L137" s="216"/>
      <c r="M137" s="216"/>
      <c r="N137" s="216"/>
      <c r="O137" s="216"/>
      <c r="P137" s="216"/>
      <c r="Q137" s="216"/>
      <c r="R137" s="335">
        <v>3</v>
      </c>
      <c r="S137" s="216" t="s">
        <v>343</v>
      </c>
      <c r="T137" s="216"/>
      <c r="U137" s="229"/>
      <c r="V137" s="48">
        <f t="shared" si="8"/>
        <v>137</v>
      </c>
      <c r="W137" s="199" t="str">
        <f t="shared" si="12"/>
        <v>✔</v>
      </c>
      <c r="Y137" s="164"/>
      <c r="Z137" s="242">
        <v>0</v>
      </c>
      <c r="AA137" s="242">
        <v>30</v>
      </c>
      <c r="AB137" s="242">
        <v>0</v>
      </c>
      <c r="AC137" s="242">
        <v>30</v>
      </c>
      <c r="AD137" s="192"/>
    </row>
    <row r="138" spans="1:30" ht="21" customHeight="1" thickBot="1">
      <c r="A138" s="214"/>
      <c r="B138" s="215"/>
      <c r="C138" s="251" t="s">
        <v>411</v>
      </c>
      <c r="D138" s="251"/>
      <c r="E138" s="251"/>
      <c r="F138" s="251"/>
      <c r="G138" s="252"/>
      <c r="H138" s="251"/>
      <c r="I138" s="335">
        <v>0</v>
      </c>
      <c r="J138" s="216" t="s">
        <v>305</v>
      </c>
      <c r="K138" s="216"/>
      <c r="L138" s="216"/>
      <c r="M138" s="216"/>
      <c r="N138" s="216"/>
      <c r="O138" s="216"/>
      <c r="P138" s="216"/>
      <c r="Q138" s="216"/>
      <c r="R138" s="335">
        <v>4</v>
      </c>
      <c r="S138" s="216" t="s">
        <v>343</v>
      </c>
      <c r="T138" s="216"/>
      <c r="U138" s="229"/>
      <c r="V138" s="48">
        <f t="shared" si="8"/>
        <v>138</v>
      </c>
      <c r="W138" s="199" t="str">
        <f t="shared" si="12"/>
        <v>✔</v>
      </c>
      <c r="Y138" s="164"/>
      <c r="Z138" s="242">
        <v>0</v>
      </c>
      <c r="AA138" s="242">
        <v>30</v>
      </c>
      <c r="AB138" s="242">
        <v>0</v>
      </c>
      <c r="AC138" s="242">
        <v>30</v>
      </c>
      <c r="AD138" s="192"/>
    </row>
    <row r="139" spans="1:30" ht="21" customHeight="1" thickBot="1">
      <c r="A139" s="214"/>
      <c r="B139" s="215"/>
      <c r="C139" s="251" t="s">
        <v>412</v>
      </c>
      <c r="D139" s="251"/>
      <c r="E139" s="251"/>
      <c r="F139" s="251"/>
      <c r="G139" s="252"/>
      <c r="H139" s="251"/>
      <c r="I139" s="335">
        <v>0</v>
      </c>
      <c r="J139" s="216" t="s">
        <v>305</v>
      </c>
      <c r="K139" s="216"/>
      <c r="L139" s="216"/>
      <c r="M139" s="216"/>
      <c r="N139" s="216"/>
      <c r="O139" s="216"/>
      <c r="P139" s="216"/>
      <c r="Q139" s="216"/>
      <c r="R139" s="335">
        <v>0</v>
      </c>
      <c r="S139" s="216" t="s">
        <v>343</v>
      </c>
      <c r="T139" s="216"/>
      <c r="U139" s="229"/>
      <c r="V139" s="48">
        <f t="shared" si="8"/>
        <v>139</v>
      </c>
      <c r="W139" s="199" t="str">
        <f t="shared" si="12"/>
        <v>✔</v>
      </c>
      <c r="Y139" s="164"/>
      <c r="Z139" s="242">
        <v>0</v>
      </c>
      <c r="AA139" s="242">
        <v>30</v>
      </c>
      <c r="AB139" s="242">
        <v>0</v>
      </c>
      <c r="AC139" s="242">
        <v>30</v>
      </c>
      <c r="AD139" s="192"/>
    </row>
    <row r="140" spans="1:30" ht="21" customHeight="1" thickBot="1">
      <c r="A140" s="214"/>
      <c r="B140" s="215"/>
      <c r="C140" s="251" t="s">
        <v>413</v>
      </c>
      <c r="D140" s="251"/>
      <c r="E140" s="251"/>
      <c r="F140" s="251"/>
      <c r="G140" s="252"/>
      <c r="H140" s="251"/>
      <c r="I140" s="335">
        <v>0</v>
      </c>
      <c r="J140" s="216" t="s">
        <v>305</v>
      </c>
      <c r="K140" s="216"/>
      <c r="L140" s="216"/>
      <c r="M140" s="216"/>
      <c r="N140" s="216"/>
      <c r="O140" s="216"/>
      <c r="P140" s="216"/>
      <c r="Q140" s="216"/>
      <c r="R140" s="335">
        <v>0</v>
      </c>
      <c r="S140" s="216" t="s">
        <v>343</v>
      </c>
      <c r="T140" s="216"/>
      <c r="U140" s="229"/>
      <c r="V140" s="48">
        <f t="shared" si="8"/>
        <v>140</v>
      </c>
      <c r="W140" s="199" t="str">
        <f t="shared" si="12"/>
        <v>✔</v>
      </c>
      <c r="Y140" s="164"/>
      <c r="Z140" s="242">
        <v>0</v>
      </c>
      <c r="AA140" s="242">
        <v>30</v>
      </c>
      <c r="AB140" s="242">
        <v>0</v>
      </c>
      <c r="AC140" s="242">
        <v>30</v>
      </c>
      <c r="AD140" s="192"/>
    </row>
    <row r="141" spans="1:30" ht="21" customHeight="1" thickBot="1">
      <c r="A141" s="214"/>
      <c r="B141" s="215"/>
      <c r="C141" s="251" t="s">
        <v>414</v>
      </c>
      <c r="D141" s="251"/>
      <c r="E141" s="251"/>
      <c r="F141" s="251"/>
      <c r="G141" s="252"/>
      <c r="H141" s="251"/>
      <c r="I141" s="335">
        <v>0</v>
      </c>
      <c r="J141" s="216" t="s">
        <v>305</v>
      </c>
      <c r="K141" s="216"/>
      <c r="L141" s="216"/>
      <c r="M141" s="216"/>
      <c r="N141" s="216"/>
      <c r="O141" s="216"/>
      <c r="P141" s="216"/>
      <c r="Q141" s="216"/>
      <c r="R141" s="335">
        <v>3</v>
      </c>
      <c r="S141" s="216" t="s">
        <v>343</v>
      </c>
      <c r="T141" s="216"/>
      <c r="U141" s="229"/>
      <c r="V141" s="48">
        <f t="shared" si="8"/>
        <v>141</v>
      </c>
      <c r="W141" s="199" t="str">
        <f t="shared" si="12"/>
        <v>✔</v>
      </c>
      <c r="Y141" s="164"/>
      <c r="Z141" s="242">
        <v>0</v>
      </c>
      <c r="AA141" s="242">
        <v>30</v>
      </c>
      <c r="AB141" s="242">
        <v>0</v>
      </c>
      <c r="AC141" s="242">
        <v>30</v>
      </c>
      <c r="AD141" s="192"/>
    </row>
    <row r="142" spans="1:30" ht="21" customHeight="1" thickBot="1">
      <c r="A142" s="214"/>
      <c r="B142" s="215"/>
      <c r="C142" s="251" t="s">
        <v>415</v>
      </c>
      <c r="D142" s="251"/>
      <c r="E142" s="251"/>
      <c r="F142" s="251"/>
      <c r="G142" s="252"/>
      <c r="H142" s="251"/>
      <c r="I142" s="335">
        <v>0</v>
      </c>
      <c r="J142" s="216" t="s">
        <v>305</v>
      </c>
      <c r="K142" s="216"/>
      <c r="L142" s="216"/>
      <c r="M142" s="216"/>
      <c r="N142" s="216"/>
      <c r="O142" s="216"/>
      <c r="P142" s="216"/>
      <c r="Q142" s="216"/>
      <c r="R142" s="335">
        <v>3</v>
      </c>
      <c r="S142" s="216" t="s">
        <v>305</v>
      </c>
      <c r="T142" s="216"/>
      <c r="U142" s="229"/>
      <c r="V142" s="48">
        <f t="shared" si="8"/>
        <v>142</v>
      </c>
      <c r="W142" s="199" t="str">
        <f t="shared" si="12"/>
        <v>✔</v>
      </c>
      <c r="Y142" s="164"/>
      <c r="Z142" s="242">
        <v>0</v>
      </c>
      <c r="AA142" s="242">
        <v>30</v>
      </c>
      <c r="AB142" s="242">
        <v>0</v>
      </c>
      <c r="AC142" s="242">
        <v>30</v>
      </c>
      <c r="AD142" s="192"/>
    </row>
    <row r="143" spans="1:30" ht="21" customHeight="1" thickBot="1">
      <c r="A143" s="214"/>
      <c r="B143" s="215"/>
      <c r="C143" s="251" t="s">
        <v>416</v>
      </c>
      <c r="D143" s="251"/>
      <c r="E143" s="251"/>
      <c r="F143" s="251"/>
      <c r="G143" s="252"/>
      <c r="H143" s="251"/>
      <c r="I143" s="335">
        <v>0</v>
      </c>
      <c r="J143" s="216" t="s">
        <v>305</v>
      </c>
      <c r="K143" s="216"/>
      <c r="L143" s="216"/>
      <c r="M143" s="216"/>
      <c r="N143" s="216"/>
      <c r="O143" s="216"/>
      <c r="P143" s="216"/>
      <c r="Q143" s="216"/>
      <c r="R143" s="335">
        <v>1</v>
      </c>
      <c r="S143" s="216" t="s">
        <v>343</v>
      </c>
      <c r="T143" s="216"/>
      <c r="U143" s="229"/>
      <c r="V143" s="48">
        <f t="shared" si="8"/>
        <v>143</v>
      </c>
      <c r="W143" s="199" t="str">
        <f t="shared" si="12"/>
        <v>✔</v>
      </c>
      <c r="Y143" s="164"/>
      <c r="Z143" s="242">
        <v>0</v>
      </c>
      <c r="AA143" s="242">
        <v>30</v>
      </c>
      <c r="AB143" s="242">
        <v>0</v>
      </c>
      <c r="AC143" s="242">
        <v>30</v>
      </c>
      <c r="AD143" s="192"/>
    </row>
    <row r="144" spans="1:30" ht="21" customHeight="1" thickBot="1">
      <c r="A144" s="214"/>
      <c r="B144" s="215"/>
      <c r="C144" s="261" t="s">
        <v>417</v>
      </c>
      <c r="D144" s="261"/>
      <c r="E144" s="261"/>
      <c r="F144" s="261"/>
      <c r="G144" s="261"/>
      <c r="H144" s="262"/>
      <c r="I144" s="335">
        <v>0</v>
      </c>
      <c r="J144" s="216" t="s">
        <v>305</v>
      </c>
      <c r="K144" s="216"/>
      <c r="L144" s="216"/>
      <c r="M144" s="216"/>
      <c r="N144" s="216"/>
      <c r="O144" s="216"/>
      <c r="P144" s="216"/>
      <c r="Q144" s="216"/>
      <c r="R144" s="335">
        <v>0</v>
      </c>
      <c r="S144" s="216" t="s">
        <v>343</v>
      </c>
      <c r="T144" s="216"/>
      <c r="U144" s="229"/>
      <c r="V144" s="48">
        <f t="shared" si="8"/>
        <v>144</v>
      </c>
      <c r="W144" s="199" t="str">
        <f t="shared" si="12"/>
        <v>✔</v>
      </c>
      <c r="Y144" s="164"/>
      <c r="Z144" s="242">
        <v>0</v>
      </c>
      <c r="AA144" s="242">
        <v>30</v>
      </c>
      <c r="AB144" s="242">
        <v>0</v>
      </c>
      <c r="AC144" s="242">
        <v>30</v>
      </c>
      <c r="AD144" s="192"/>
    </row>
    <row r="145" spans="1:30" ht="21" customHeight="1" thickBot="1">
      <c r="A145" s="214"/>
      <c r="B145" s="215"/>
      <c r="C145" s="251" t="s">
        <v>418</v>
      </c>
      <c r="D145" s="251"/>
      <c r="E145" s="251"/>
      <c r="F145" s="258"/>
      <c r="G145" s="252"/>
      <c r="H145" s="252"/>
      <c r="I145" s="335">
        <v>0</v>
      </c>
      <c r="J145" s="216" t="s">
        <v>305</v>
      </c>
      <c r="K145" s="216"/>
      <c r="L145" s="216"/>
      <c r="M145" s="216"/>
      <c r="N145" s="216"/>
      <c r="O145" s="216"/>
      <c r="P145" s="216"/>
      <c r="Q145" s="216"/>
      <c r="R145" s="335">
        <v>0</v>
      </c>
      <c r="S145" s="216" t="s">
        <v>343</v>
      </c>
      <c r="T145" s="216"/>
      <c r="U145" s="229"/>
      <c r="V145" s="48">
        <f t="shared" si="8"/>
        <v>145</v>
      </c>
      <c r="W145" s="199" t="str">
        <f t="shared" si="12"/>
        <v>✔</v>
      </c>
      <c r="Y145" s="164"/>
      <c r="Z145" s="242">
        <v>0</v>
      </c>
      <c r="AA145" s="242">
        <v>30</v>
      </c>
      <c r="AB145" s="242">
        <v>0</v>
      </c>
      <c r="AC145" s="242">
        <v>30</v>
      </c>
      <c r="AD145" s="192"/>
    </row>
    <row r="146" spans="1:30" ht="21" customHeight="1" thickBot="1">
      <c r="A146" s="214"/>
      <c r="B146" s="215"/>
      <c r="C146" s="251" t="s">
        <v>419</v>
      </c>
      <c r="D146" s="251"/>
      <c r="E146" s="251"/>
      <c r="F146" s="251"/>
      <c r="G146" s="252"/>
      <c r="H146" s="251"/>
      <c r="I146" s="335">
        <v>0</v>
      </c>
      <c r="J146" s="216" t="s">
        <v>305</v>
      </c>
      <c r="K146" s="216"/>
      <c r="L146" s="216"/>
      <c r="M146" s="216"/>
      <c r="N146" s="216"/>
      <c r="O146" s="216"/>
      <c r="P146" s="216"/>
      <c r="Q146" s="216"/>
      <c r="R146" s="335">
        <v>1</v>
      </c>
      <c r="S146" s="216" t="s">
        <v>343</v>
      </c>
      <c r="T146" s="216"/>
      <c r="U146" s="229"/>
      <c r="V146" s="48">
        <f t="shared" si="8"/>
        <v>146</v>
      </c>
      <c r="W146" s="199" t="str">
        <f t="shared" si="12"/>
        <v>✔</v>
      </c>
      <c r="Y146" s="164"/>
      <c r="Z146" s="242">
        <v>0</v>
      </c>
      <c r="AA146" s="242">
        <v>30</v>
      </c>
      <c r="AB146" s="242">
        <v>0</v>
      </c>
      <c r="AC146" s="242">
        <v>30</v>
      </c>
      <c r="AD146" s="192"/>
    </row>
    <row r="147" spans="1:30" ht="21" customHeight="1" thickBot="1">
      <c r="A147" s="214"/>
      <c r="B147" s="215"/>
      <c r="C147" s="254" t="s">
        <v>420</v>
      </c>
      <c r="D147" s="263"/>
      <c r="E147" s="263"/>
      <c r="F147" s="263"/>
      <c r="G147" s="264"/>
      <c r="H147" s="263"/>
      <c r="I147" s="335">
        <v>0</v>
      </c>
      <c r="J147" s="216" t="s">
        <v>305</v>
      </c>
      <c r="K147" s="216"/>
      <c r="L147" s="216"/>
      <c r="M147" s="216"/>
      <c r="N147" s="216"/>
      <c r="O147" s="216"/>
      <c r="P147" s="216"/>
      <c r="Q147" s="216"/>
      <c r="R147" s="335">
        <v>1</v>
      </c>
      <c r="S147" s="216" t="s">
        <v>343</v>
      </c>
      <c r="T147" s="216"/>
      <c r="U147" s="229"/>
      <c r="V147" s="48">
        <f t="shared" ref="V147:V205" si="13">+ROW()</f>
        <v>147</v>
      </c>
      <c r="W147" s="199" t="str">
        <f t="shared" si="12"/>
        <v>✔</v>
      </c>
      <c r="Y147" s="164"/>
      <c r="Z147" s="242">
        <v>0</v>
      </c>
      <c r="AA147" s="242">
        <v>30</v>
      </c>
      <c r="AB147" s="242">
        <v>0</v>
      </c>
      <c r="AC147" s="242">
        <v>30</v>
      </c>
      <c r="AD147" s="192"/>
    </row>
    <row r="148" spans="1:30" ht="21" customHeight="1" thickBot="1">
      <c r="A148" s="214"/>
      <c r="B148" s="215"/>
      <c r="C148" s="251" t="s">
        <v>421</v>
      </c>
      <c r="D148" s="263"/>
      <c r="E148" s="263"/>
      <c r="F148" s="263"/>
      <c r="G148" s="264"/>
      <c r="H148" s="263"/>
      <c r="I148" s="335">
        <v>0</v>
      </c>
      <c r="J148" s="216" t="s">
        <v>422</v>
      </c>
      <c r="K148" s="216"/>
      <c r="L148" s="216"/>
      <c r="M148" s="216"/>
      <c r="N148" s="216"/>
      <c r="O148" s="216"/>
      <c r="P148" s="216"/>
      <c r="Q148" s="216"/>
      <c r="R148" s="335">
        <v>0</v>
      </c>
      <c r="S148" s="216" t="s">
        <v>422</v>
      </c>
      <c r="T148" s="216"/>
      <c r="U148" s="229"/>
      <c r="V148" s="48">
        <f t="shared" si="13"/>
        <v>148</v>
      </c>
      <c r="W148" s="199" t="str">
        <f t="shared" si="12"/>
        <v>✔</v>
      </c>
      <c r="Y148" s="164"/>
      <c r="Z148" s="242">
        <v>0</v>
      </c>
      <c r="AA148" s="242">
        <v>30</v>
      </c>
      <c r="AB148" s="242">
        <v>0</v>
      </c>
      <c r="AC148" s="242">
        <v>30</v>
      </c>
      <c r="AD148" s="192"/>
    </row>
    <row r="149" spans="1:30" ht="21" customHeight="1" thickBot="1">
      <c r="A149" s="214"/>
      <c r="B149" s="215"/>
      <c r="C149" s="251" t="s">
        <v>423</v>
      </c>
      <c r="D149" s="251"/>
      <c r="E149" s="251"/>
      <c r="F149" s="251"/>
      <c r="G149" s="252"/>
      <c r="H149" s="251"/>
      <c r="I149" s="335">
        <v>0</v>
      </c>
      <c r="J149" s="216" t="s">
        <v>305</v>
      </c>
      <c r="K149" s="216"/>
      <c r="L149" s="216"/>
      <c r="M149" s="216"/>
      <c r="N149" s="216"/>
      <c r="O149" s="216"/>
      <c r="P149" s="216"/>
      <c r="Q149" s="216"/>
      <c r="R149" s="335">
        <v>0</v>
      </c>
      <c r="S149" s="216" t="s">
        <v>343</v>
      </c>
      <c r="T149" s="216"/>
      <c r="U149" s="229"/>
      <c r="V149" s="48">
        <f t="shared" si="13"/>
        <v>149</v>
      </c>
      <c r="W149" s="199" t="str">
        <f t="shared" si="12"/>
        <v>✔</v>
      </c>
      <c r="Y149" s="164"/>
      <c r="Z149" s="242">
        <v>0</v>
      </c>
      <c r="AA149" s="242">
        <v>30</v>
      </c>
      <c r="AB149" s="242">
        <v>0</v>
      </c>
      <c r="AC149" s="242">
        <v>30</v>
      </c>
      <c r="AD149" s="192"/>
    </row>
    <row r="150" spans="1:30" ht="21" customHeight="1" thickBot="1">
      <c r="A150" s="214"/>
      <c r="B150" s="215"/>
      <c r="C150" s="251" t="s">
        <v>424</v>
      </c>
      <c r="D150" s="263"/>
      <c r="E150" s="263"/>
      <c r="F150" s="263"/>
      <c r="G150" s="264"/>
      <c r="H150" s="263"/>
      <c r="I150" s="335">
        <v>0</v>
      </c>
      <c r="J150" s="216" t="s">
        <v>305</v>
      </c>
      <c r="K150" s="216"/>
      <c r="L150" s="216"/>
      <c r="M150" s="216"/>
      <c r="N150" s="216"/>
      <c r="O150" s="216"/>
      <c r="P150" s="216"/>
      <c r="Q150" s="216"/>
      <c r="R150" s="335">
        <v>0</v>
      </c>
      <c r="S150" s="216" t="s">
        <v>343</v>
      </c>
      <c r="T150" s="216"/>
      <c r="U150" s="229"/>
      <c r="V150" s="48">
        <f t="shared" si="13"/>
        <v>150</v>
      </c>
      <c r="W150" s="199" t="str">
        <f t="shared" ref="W150" si="14">IF(OR(I150="",R150=""),"未入力あり","✔")</f>
        <v>✔</v>
      </c>
      <c r="Y150" s="164"/>
      <c r="Z150" s="242">
        <v>0</v>
      </c>
      <c r="AA150" s="242">
        <v>30</v>
      </c>
      <c r="AB150" s="242">
        <v>0</v>
      </c>
      <c r="AC150" s="242">
        <v>30</v>
      </c>
      <c r="AD150" s="192"/>
    </row>
    <row r="151" spans="1:30" ht="20.100000000000001" customHeight="1">
      <c r="A151" s="214"/>
      <c r="B151" s="215"/>
      <c r="C151" s="207"/>
      <c r="D151" s="207"/>
      <c r="E151" s="207"/>
      <c r="F151" s="207"/>
      <c r="G151" s="209"/>
      <c r="H151" s="207"/>
      <c r="I151" s="265"/>
      <c r="J151" s="5"/>
      <c r="K151" s="5"/>
      <c r="L151" s="5"/>
      <c r="M151" s="5"/>
      <c r="N151" s="5"/>
      <c r="O151" s="5"/>
      <c r="P151" s="5"/>
      <c r="Q151" s="5"/>
      <c r="R151" s="265"/>
      <c r="S151" s="5"/>
      <c r="T151" s="216"/>
      <c r="U151" s="229"/>
      <c r="V151" s="48">
        <f t="shared" si="13"/>
        <v>151</v>
      </c>
      <c r="Y151" s="164"/>
      <c r="Z151" s="192"/>
      <c r="AA151" s="192"/>
      <c r="AB151" s="192"/>
      <c r="AC151" s="192"/>
      <c r="AD151" s="192"/>
    </row>
    <row r="152" spans="1:30" ht="20.100000000000001" customHeight="1" thickBot="1">
      <c r="A152" s="214"/>
      <c r="B152" s="215" t="s">
        <v>313</v>
      </c>
      <c r="C152" s="215"/>
      <c r="D152" s="215"/>
      <c r="E152" s="215"/>
      <c r="F152" s="215"/>
      <c r="G152" s="217"/>
      <c r="H152" s="215"/>
      <c r="I152" s="243"/>
      <c r="J152" s="5"/>
      <c r="K152" s="5"/>
      <c r="L152" s="5"/>
      <c r="M152" s="5"/>
      <c r="N152" s="5"/>
      <c r="O152" s="5"/>
      <c r="P152" s="5"/>
      <c r="Q152" s="5"/>
      <c r="R152" s="243"/>
      <c r="S152" s="5"/>
      <c r="T152" s="216"/>
      <c r="U152" s="229"/>
      <c r="V152" s="48">
        <f t="shared" si="13"/>
        <v>152</v>
      </c>
      <c r="Y152" s="164"/>
      <c r="Z152" s="192"/>
      <c r="AA152" s="192"/>
      <c r="AB152" s="192"/>
      <c r="AC152" s="192"/>
      <c r="AD152" s="192"/>
    </row>
    <row r="153" spans="1:30" ht="21" customHeight="1" thickBot="1">
      <c r="A153" s="214"/>
      <c r="B153" s="215"/>
      <c r="C153" s="215" t="s">
        <v>425</v>
      </c>
      <c r="D153" s="215"/>
      <c r="E153" s="215"/>
      <c r="F153" s="215"/>
      <c r="G153" s="217"/>
      <c r="H153" s="215"/>
      <c r="I153" s="335">
        <v>0</v>
      </c>
      <c r="J153" s="216" t="s">
        <v>305</v>
      </c>
      <c r="K153" s="216"/>
      <c r="L153" s="216"/>
      <c r="M153" s="216"/>
      <c r="N153" s="216"/>
      <c r="O153" s="216"/>
      <c r="P153" s="216"/>
      <c r="Q153" s="216"/>
      <c r="R153" s="335">
        <v>2</v>
      </c>
      <c r="S153" s="216" t="s">
        <v>305</v>
      </c>
      <c r="T153" s="216"/>
      <c r="U153" s="229"/>
      <c r="V153" s="48">
        <f t="shared" si="13"/>
        <v>153</v>
      </c>
      <c r="W153" s="199" t="str">
        <f>IF(OR(I153="",R153=""),"未入力あり","✔")</f>
        <v>✔</v>
      </c>
      <c r="Y153" s="164"/>
      <c r="Z153" s="242">
        <v>0</v>
      </c>
      <c r="AA153" s="242">
        <v>30</v>
      </c>
      <c r="AB153" s="242">
        <v>0</v>
      </c>
      <c r="AC153" s="242">
        <v>30</v>
      </c>
      <c r="AD153" s="192"/>
    </row>
    <row r="154" spans="1:30" ht="21" customHeight="1" thickBot="1">
      <c r="A154" s="214"/>
      <c r="B154" s="215"/>
      <c r="C154" s="215" t="s">
        <v>426</v>
      </c>
      <c r="D154" s="215"/>
      <c r="E154" s="215"/>
      <c r="F154" s="215"/>
      <c r="G154" s="217"/>
      <c r="H154" s="215"/>
      <c r="I154" s="335">
        <v>0</v>
      </c>
      <c r="J154" s="216" t="s">
        <v>305</v>
      </c>
      <c r="K154" s="216"/>
      <c r="L154" s="216"/>
      <c r="M154" s="216"/>
      <c r="N154" s="216"/>
      <c r="O154" s="216"/>
      <c r="P154" s="216"/>
      <c r="Q154" s="216"/>
      <c r="R154" s="335">
        <v>0</v>
      </c>
      <c r="S154" s="216" t="s">
        <v>305</v>
      </c>
      <c r="T154" s="216"/>
      <c r="U154" s="229"/>
      <c r="V154" s="48">
        <f t="shared" si="13"/>
        <v>154</v>
      </c>
      <c r="W154" s="199" t="str">
        <f>IF(OR(I154="",R154=""),"未入力あり","✔")</f>
        <v>✔</v>
      </c>
      <c r="Y154" s="164"/>
      <c r="Z154" s="242">
        <v>0</v>
      </c>
      <c r="AA154" s="242">
        <v>30</v>
      </c>
      <c r="AB154" s="242">
        <v>0</v>
      </c>
      <c r="AC154" s="242">
        <v>30</v>
      </c>
      <c r="AD154" s="192"/>
    </row>
    <row r="155" spans="1:30" ht="21" customHeight="1">
      <c r="A155" s="214"/>
      <c r="B155" s="215"/>
      <c r="C155" s="215"/>
      <c r="D155" s="215"/>
      <c r="E155" s="215"/>
      <c r="F155" s="215"/>
      <c r="G155" s="217"/>
      <c r="H155" s="215"/>
      <c r="I155" s="265"/>
      <c r="J155" s="216"/>
      <c r="K155" s="216"/>
      <c r="L155" s="216"/>
      <c r="M155" s="216"/>
      <c r="N155" s="216"/>
      <c r="O155" s="216"/>
      <c r="P155" s="216"/>
      <c r="Q155" s="216"/>
      <c r="R155" s="265"/>
      <c r="S155" s="216"/>
      <c r="T155" s="216"/>
      <c r="U155" s="229"/>
      <c r="V155" s="48">
        <f t="shared" si="13"/>
        <v>155</v>
      </c>
      <c r="Y155" s="164"/>
      <c r="Z155" s="192"/>
      <c r="AA155" s="192"/>
      <c r="AB155" s="192"/>
      <c r="AC155" s="192"/>
      <c r="AD155" s="192"/>
    </row>
    <row r="156" spans="1:30" ht="20.100000000000001" customHeight="1" thickBot="1">
      <c r="A156" s="214"/>
      <c r="B156" s="215" t="s">
        <v>427</v>
      </c>
      <c r="C156" s="215"/>
      <c r="D156" s="215"/>
      <c r="E156" s="215"/>
      <c r="F156" s="215"/>
      <c r="G156" s="217"/>
      <c r="H156" s="215"/>
      <c r="I156" s="243"/>
      <c r="J156" s="216"/>
      <c r="K156" s="216"/>
      <c r="L156" s="216"/>
      <c r="M156" s="216"/>
      <c r="N156" s="216"/>
      <c r="O156" s="216"/>
      <c r="P156" s="216"/>
      <c r="Q156" s="216"/>
      <c r="R156" s="243"/>
      <c r="S156" s="216"/>
      <c r="T156" s="216"/>
      <c r="U156" s="229"/>
      <c r="V156" s="48">
        <f t="shared" si="13"/>
        <v>156</v>
      </c>
      <c r="Y156" s="164"/>
      <c r="Z156" s="192"/>
      <c r="AA156" s="192"/>
      <c r="AB156" s="192"/>
      <c r="AC156" s="192"/>
      <c r="AD156" s="192"/>
    </row>
    <row r="157" spans="1:30" ht="20.100000000000001" customHeight="1" thickBot="1">
      <c r="A157" s="214"/>
      <c r="B157" s="215"/>
      <c r="C157" s="266" t="s">
        <v>428</v>
      </c>
      <c r="D157" s="215"/>
      <c r="E157" s="215"/>
      <c r="F157" s="215"/>
      <c r="G157" s="217"/>
      <c r="H157" s="215"/>
      <c r="I157" s="335">
        <v>0</v>
      </c>
      <c r="J157" s="216" t="s">
        <v>305</v>
      </c>
      <c r="K157" s="216"/>
      <c r="L157" s="216"/>
      <c r="M157" s="216"/>
      <c r="N157" s="216"/>
      <c r="O157" s="216"/>
      <c r="P157" s="216"/>
      <c r="Q157" s="216"/>
      <c r="R157" s="335">
        <v>2</v>
      </c>
      <c r="S157" s="216" t="s">
        <v>305</v>
      </c>
      <c r="T157" s="216"/>
      <c r="U157" s="229"/>
      <c r="V157" s="48">
        <f t="shared" si="13"/>
        <v>157</v>
      </c>
      <c r="W157" s="199" t="str">
        <f t="shared" ref="W157:W170" si="15">IF(OR(I157="",R157=""),"未入力あり","✔")</f>
        <v>✔</v>
      </c>
      <c r="Y157" s="164"/>
      <c r="Z157" s="242">
        <v>0</v>
      </c>
      <c r="AA157" s="242">
        <v>10</v>
      </c>
      <c r="AB157" s="242">
        <v>0</v>
      </c>
      <c r="AC157" s="242">
        <v>10</v>
      </c>
      <c r="AD157" s="192"/>
    </row>
    <row r="158" spans="1:30" ht="20.100000000000001" customHeight="1" thickBot="1">
      <c r="A158" s="214"/>
      <c r="B158" s="215"/>
      <c r="C158" s="266" t="s">
        <v>429</v>
      </c>
      <c r="D158" s="215"/>
      <c r="E158" s="215"/>
      <c r="F158" s="215"/>
      <c r="G158" s="217"/>
      <c r="H158" s="215"/>
      <c r="I158" s="335">
        <v>0</v>
      </c>
      <c r="J158" s="216" t="s">
        <v>305</v>
      </c>
      <c r="K158" s="216"/>
      <c r="L158" s="216"/>
      <c r="M158" s="216"/>
      <c r="N158" s="216"/>
      <c r="O158" s="216"/>
      <c r="P158" s="216"/>
      <c r="Q158" s="216"/>
      <c r="R158" s="335">
        <v>0</v>
      </c>
      <c r="S158" s="216" t="s">
        <v>305</v>
      </c>
      <c r="T158" s="216"/>
      <c r="U158" s="229"/>
      <c r="V158" s="48">
        <f t="shared" si="13"/>
        <v>158</v>
      </c>
      <c r="W158" s="199" t="str">
        <f t="shared" ref="W158" si="16">IF(OR(I158="",R158=""),"未入力あり","✔")</f>
        <v>✔</v>
      </c>
      <c r="Y158" s="164"/>
      <c r="Z158" s="242">
        <v>0</v>
      </c>
      <c r="AA158" s="242">
        <v>10</v>
      </c>
      <c r="AB158" s="242">
        <v>0</v>
      </c>
      <c r="AC158" s="242">
        <v>10</v>
      </c>
      <c r="AD158" s="192"/>
    </row>
    <row r="159" spans="1:30" ht="20.100000000000001" customHeight="1" thickBot="1">
      <c r="A159" s="214"/>
      <c r="B159" s="215"/>
      <c r="C159" s="266" t="s">
        <v>430</v>
      </c>
      <c r="D159" s="215"/>
      <c r="E159" s="215"/>
      <c r="F159" s="215"/>
      <c r="G159" s="217"/>
      <c r="H159" s="215"/>
      <c r="I159" s="335">
        <v>0</v>
      </c>
      <c r="J159" s="216" t="s">
        <v>305</v>
      </c>
      <c r="K159" s="216"/>
      <c r="L159" s="216"/>
      <c r="M159" s="216"/>
      <c r="N159" s="216"/>
      <c r="O159" s="216"/>
      <c r="P159" s="216"/>
      <c r="Q159" s="216"/>
      <c r="R159" s="335">
        <v>0</v>
      </c>
      <c r="S159" s="216" t="s">
        <v>305</v>
      </c>
      <c r="T159" s="216"/>
      <c r="U159" s="229"/>
      <c r="V159" s="48">
        <f t="shared" si="13"/>
        <v>159</v>
      </c>
      <c r="W159" s="199" t="str">
        <f t="shared" si="15"/>
        <v>✔</v>
      </c>
      <c r="Y159" s="164"/>
      <c r="Z159" s="242">
        <v>0</v>
      </c>
      <c r="AA159" s="242">
        <v>10</v>
      </c>
      <c r="AB159" s="242">
        <v>0</v>
      </c>
      <c r="AC159" s="242">
        <v>10</v>
      </c>
      <c r="AD159" s="192"/>
    </row>
    <row r="160" spans="1:30" ht="20.100000000000001" customHeight="1" thickBot="1">
      <c r="A160" s="214"/>
      <c r="B160" s="215"/>
      <c r="C160" s="266" t="s">
        <v>431</v>
      </c>
      <c r="D160" s="215"/>
      <c r="E160" s="215"/>
      <c r="F160" s="215"/>
      <c r="G160" s="217"/>
      <c r="H160" s="215"/>
      <c r="I160" s="335">
        <v>0</v>
      </c>
      <c r="J160" s="216" t="s">
        <v>305</v>
      </c>
      <c r="K160" s="216"/>
      <c r="L160" s="216"/>
      <c r="M160" s="216"/>
      <c r="N160" s="216"/>
      <c r="O160" s="216"/>
      <c r="P160" s="216"/>
      <c r="Q160" s="216"/>
      <c r="R160" s="335">
        <v>1</v>
      </c>
      <c r="S160" s="216" t="s">
        <v>305</v>
      </c>
      <c r="T160" s="216"/>
      <c r="U160" s="229"/>
      <c r="V160" s="48">
        <f t="shared" si="13"/>
        <v>160</v>
      </c>
      <c r="W160" s="199" t="str">
        <f t="shared" si="15"/>
        <v>✔</v>
      </c>
      <c r="Y160" s="164"/>
      <c r="Z160" s="242">
        <v>0</v>
      </c>
      <c r="AA160" s="242">
        <v>10</v>
      </c>
      <c r="AB160" s="242">
        <v>0</v>
      </c>
      <c r="AC160" s="242">
        <v>10</v>
      </c>
      <c r="AD160" s="192"/>
    </row>
    <row r="161" spans="1:30" ht="20.100000000000001" customHeight="1" thickBot="1">
      <c r="A161" s="214"/>
      <c r="B161" s="215"/>
      <c r="C161" s="266" t="s">
        <v>432</v>
      </c>
      <c r="D161" s="215"/>
      <c r="E161" s="215"/>
      <c r="F161" s="215"/>
      <c r="G161" s="217"/>
      <c r="H161" s="215"/>
      <c r="I161" s="335">
        <v>0</v>
      </c>
      <c r="J161" s="216" t="s">
        <v>305</v>
      </c>
      <c r="K161" s="216"/>
      <c r="L161" s="216"/>
      <c r="M161" s="216"/>
      <c r="N161" s="216"/>
      <c r="O161" s="216"/>
      <c r="P161" s="216"/>
      <c r="Q161" s="216"/>
      <c r="R161" s="335">
        <v>0</v>
      </c>
      <c r="S161" s="216" t="s">
        <v>305</v>
      </c>
      <c r="T161" s="216"/>
      <c r="U161" s="229"/>
      <c r="V161" s="48">
        <f t="shared" si="13"/>
        <v>161</v>
      </c>
      <c r="W161" s="199" t="str">
        <f t="shared" si="15"/>
        <v>✔</v>
      </c>
      <c r="Y161" s="164"/>
      <c r="Z161" s="242">
        <v>0</v>
      </c>
      <c r="AA161" s="242">
        <v>10</v>
      </c>
      <c r="AB161" s="242">
        <v>0</v>
      </c>
      <c r="AC161" s="242">
        <v>10</v>
      </c>
      <c r="AD161" s="192"/>
    </row>
    <row r="162" spans="1:30" ht="20.100000000000001" customHeight="1" thickBot="1">
      <c r="A162" s="214"/>
      <c r="B162" s="215"/>
      <c r="C162" s="266" t="s">
        <v>433</v>
      </c>
      <c r="D162" s="215"/>
      <c r="E162" s="215"/>
      <c r="F162" s="215"/>
      <c r="G162" s="217"/>
      <c r="H162" s="215"/>
      <c r="I162" s="335">
        <v>0</v>
      </c>
      <c r="J162" s="216" t="s">
        <v>305</v>
      </c>
      <c r="K162" s="216"/>
      <c r="L162" s="216"/>
      <c r="M162" s="216"/>
      <c r="N162" s="216"/>
      <c r="O162" s="216"/>
      <c r="P162" s="216"/>
      <c r="Q162" s="216"/>
      <c r="R162" s="335">
        <v>0</v>
      </c>
      <c r="S162" s="216" t="s">
        <v>305</v>
      </c>
      <c r="T162" s="216"/>
      <c r="U162" s="229"/>
      <c r="V162" s="48">
        <f t="shared" si="13"/>
        <v>162</v>
      </c>
      <c r="W162" s="199" t="str">
        <f t="shared" si="15"/>
        <v>✔</v>
      </c>
      <c r="Y162" s="164"/>
      <c r="Z162" s="242">
        <v>0</v>
      </c>
      <c r="AA162" s="242">
        <v>10</v>
      </c>
      <c r="AB162" s="242">
        <v>0</v>
      </c>
      <c r="AC162" s="242">
        <v>10</v>
      </c>
      <c r="AD162" s="192"/>
    </row>
    <row r="163" spans="1:30" ht="20.100000000000001" customHeight="1" thickBot="1">
      <c r="A163" s="214"/>
      <c r="B163" s="215"/>
      <c r="C163" s="266" t="s">
        <v>434</v>
      </c>
      <c r="D163" s="215"/>
      <c r="E163" s="215"/>
      <c r="F163" s="215"/>
      <c r="G163" s="217"/>
      <c r="H163" s="215"/>
      <c r="I163" s="335">
        <v>0</v>
      </c>
      <c r="J163" s="216" t="s">
        <v>305</v>
      </c>
      <c r="K163" s="216"/>
      <c r="L163" s="216"/>
      <c r="M163" s="216"/>
      <c r="N163" s="216"/>
      <c r="O163" s="216"/>
      <c r="P163" s="216"/>
      <c r="Q163" s="216"/>
      <c r="R163" s="335">
        <v>1</v>
      </c>
      <c r="S163" s="216" t="s">
        <v>305</v>
      </c>
      <c r="T163" s="216"/>
      <c r="U163" s="229"/>
      <c r="V163" s="48">
        <f t="shared" si="13"/>
        <v>163</v>
      </c>
      <c r="W163" s="199" t="str">
        <f t="shared" si="15"/>
        <v>✔</v>
      </c>
      <c r="Y163" s="164"/>
      <c r="Z163" s="242">
        <v>0</v>
      </c>
      <c r="AA163" s="242">
        <v>10</v>
      </c>
      <c r="AB163" s="242">
        <v>0</v>
      </c>
      <c r="AC163" s="242">
        <v>10</v>
      </c>
      <c r="AD163" s="192"/>
    </row>
    <row r="164" spans="1:30" ht="20.100000000000001" customHeight="1" thickBot="1">
      <c r="A164" s="214"/>
      <c r="B164" s="215"/>
      <c r="C164" s="266" t="s">
        <v>435</v>
      </c>
      <c r="D164" s="215"/>
      <c r="E164" s="215"/>
      <c r="F164" s="215"/>
      <c r="G164" s="217"/>
      <c r="H164" s="215"/>
      <c r="I164" s="335">
        <v>0</v>
      </c>
      <c r="J164" s="216" t="s">
        <v>305</v>
      </c>
      <c r="K164" s="216"/>
      <c r="L164" s="216"/>
      <c r="M164" s="216"/>
      <c r="N164" s="216"/>
      <c r="O164" s="216"/>
      <c r="P164" s="216"/>
      <c r="Q164" s="216"/>
      <c r="R164" s="335">
        <v>0</v>
      </c>
      <c r="S164" s="216" t="s">
        <v>305</v>
      </c>
      <c r="T164" s="216"/>
      <c r="U164" s="229"/>
      <c r="V164" s="48">
        <f t="shared" si="13"/>
        <v>164</v>
      </c>
      <c r="W164" s="199" t="str">
        <f t="shared" si="15"/>
        <v>✔</v>
      </c>
      <c r="Y164" s="164"/>
      <c r="Z164" s="242">
        <v>0</v>
      </c>
      <c r="AA164" s="242">
        <v>10</v>
      </c>
      <c r="AB164" s="242">
        <v>0</v>
      </c>
      <c r="AC164" s="242">
        <v>10</v>
      </c>
      <c r="AD164" s="192"/>
    </row>
    <row r="165" spans="1:30" ht="20.100000000000001" customHeight="1" thickBot="1">
      <c r="A165" s="214"/>
      <c r="B165" s="215"/>
      <c r="C165" s="266" t="s">
        <v>436</v>
      </c>
      <c r="D165" s="215"/>
      <c r="E165" s="215"/>
      <c r="F165" s="215"/>
      <c r="G165" s="217"/>
      <c r="H165" s="215"/>
      <c r="I165" s="335">
        <v>0</v>
      </c>
      <c r="J165" s="216" t="s">
        <v>305</v>
      </c>
      <c r="K165" s="216"/>
      <c r="L165" s="216"/>
      <c r="M165" s="216"/>
      <c r="N165" s="216"/>
      <c r="O165" s="216"/>
      <c r="P165" s="216"/>
      <c r="Q165" s="216"/>
      <c r="R165" s="335">
        <v>0</v>
      </c>
      <c r="S165" s="216" t="s">
        <v>305</v>
      </c>
      <c r="T165" s="216"/>
      <c r="U165" s="229"/>
      <c r="V165" s="48">
        <f t="shared" si="13"/>
        <v>165</v>
      </c>
      <c r="W165" s="199" t="str">
        <f t="shared" si="15"/>
        <v>✔</v>
      </c>
      <c r="Y165" s="164"/>
      <c r="Z165" s="242">
        <v>0</v>
      </c>
      <c r="AA165" s="242">
        <v>10</v>
      </c>
      <c r="AB165" s="242">
        <v>0</v>
      </c>
      <c r="AC165" s="242">
        <v>10</v>
      </c>
      <c r="AD165" s="192"/>
    </row>
    <row r="166" spans="1:30" ht="20.100000000000001" customHeight="1" thickBot="1">
      <c r="A166" s="214"/>
      <c r="B166" s="215"/>
      <c r="C166" s="266" t="s">
        <v>437</v>
      </c>
      <c r="D166" s="215"/>
      <c r="E166" s="215"/>
      <c r="F166" s="215"/>
      <c r="G166" s="217"/>
      <c r="H166" s="215"/>
      <c r="I166" s="335">
        <v>0</v>
      </c>
      <c r="J166" s="216" t="s">
        <v>305</v>
      </c>
      <c r="K166" s="216"/>
      <c r="L166" s="216"/>
      <c r="M166" s="216"/>
      <c r="N166" s="216"/>
      <c r="O166" s="216"/>
      <c r="P166" s="216"/>
      <c r="Q166" s="216"/>
      <c r="R166" s="335">
        <v>0</v>
      </c>
      <c r="S166" s="216" t="s">
        <v>305</v>
      </c>
      <c r="T166" s="216"/>
      <c r="U166" s="229"/>
      <c r="V166" s="48">
        <f t="shared" si="13"/>
        <v>166</v>
      </c>
      <c r="W166" s="199" t="str">
        <f t="shared" si="15"/>
        <v>✔</v>
      </c>
      <c r="Y166" s="164"/>
      <c r="Z166" s="242">
        <v>0</v>
      </c>
      <c r="AA166" s="242">
        <v>10</v>
      </c>
      <c r="AB166" s="242">
        <v>0</v>
      </c>
      <c r="AC166" s="242">
        <v>10</v>
      </c>
      <c r="AD166" s="192"/>
    </row>
    <row r="167" spans="1:30" ht="20.100000000000001" customHeight="1" thickBot="1">
      <c r="A167" s="214"/>
      <c r="B167" s="215"/>
      <c r="C167" s="215" t="s">
        <v>438</v>
      </c>
      <c r="D167" s="215"/>
      <c r="E167" s="215"/>
      <c r="F167" s="215"/>
      <c r="G167" s="217"/>
      <c r="H167" s="215"/>
      <c r="I167" s="335">
        <v>0</v>
      </c>
      <c r="J167" s="216" t="s">
        <v>305</v>
      </c>
      <c r="K167" s="216"/>
      <c r="L167" s="216"/>
      <c r="M167" s="216"/>
      <c r="N167" s="216"/>
      <c r="O167" s="216"/>
      <c r="P167" s="216"/>
      <c r="Q167" s="216"/>
      <c r="R167" s="335">
        <v>2</v>
      </c>
      <c r="S167" s="216" t="s">
        <v>305</v>
      </c>
      <c r="T167" s="216"/>
      <c r="U167" s="229"/>
      <c r="V167" s="48">
        <f t="shared" si="13"/>
        <v>167</v>
      </c>
      <c r="W167" s="199" t="str">
        <f t="shared" si="15"/>
        <v>✔</v>
      </c>
      <c r="Y167" s="164"/>
      <c r="Z167" s="242">
        <v>0</v>
      </c>
      <c r="AA167" s="242">
        <v>10</v>
      </c>
      <c r="AB167" s="242">
        <v>0</v>
      </c>
      <c r="AC167" s="242">
        <v>10</v>
      </c>
      <c r="AD167" s="192"/>
    </row>
    <row r="168" spans="1:30" ht="20.100000000000001" customHeight="1" thickBot="1">
      <c r="A168" s="214"/>
      <c r="B168" s="215"/>
      <c r="C168" s="215" t="s">
        <v>439</v>
      </c>
      <c r="D168" s="215"/>
      <c r="E168" s="215"/>
      <c r="F168" s="215"/>
      <c r="G168" s="217"/>
      <c r="H168" s="215"/>
      <c r="I168" s="335">
        <v>0</v>
      </c>
      <c r="J168" s="216" t="s">
        <v>305</v>
      </c>
      <c r="K168" s="216"/>
      <c r="L168" s="216"/>
      <c r="M168" s="216"/>
      <c r="N168" s="216"/>
      <c r="O168" s="216"/>
      <c r="P168" s="216"/>
      <c r="Q168" s="216"/>
      <c r="R168" s="335">
        <v>5</v>
      </c>
      <c r="S168" s="216" t="s">
        <v>305</v>
      </c>
      <c r="T168" s="216"/>
      <c r="U168" s="229"/>
      <c r="V168" s="48">
        <f t="shared" si="13"/>
        <v>168</v>
      </c>
      <c r="W168" s="199" t="str">
        <f t="shared" si="15"/>
        <v>✔</v>
      </c>
      <c r="Y168" s="164"/>
      <c r="Z168" s="242">
        <v>0</v>
      </c>
      <c r="AA168" s="242">
        <v>10</v>
      </c>
      <c r="AB168" s="242">
        <v>0</v>
      </c>
      <c r="AC168" s="242">
        <v>10</v>
      </c>
      <c r="AD168" s="192"/>
    </row>
    <row r="169" spans="1:30" ht="20.100000000000001" customHeight="1" thickBot="1">
      <c r="A169" s="214"/>
      <c r="B169" s="215"/>
      <c r="C169" s="215" t="s">
        <v>440</v>
      </c>
      <c r="D169" s="215"/>
      <c r="E169" s="215"/>
      <c r="F169" s="215"/>
      <c r="G169" s="217"/>
      <c r="H169" s="215"/>
      <c r="I169" s="335">
        <v>0</v>
      </c>
      <c r="J169" s="216" t="s">
        <v>305</v>
      </c>
      <c r="K169" s="216"/>
      <c r="L169" s="216"/>
      <c r="M169" s="216"/>
      <c r="N169" s="216"/>
      <c r="O169" s="216"/>
      <c r="P169" s="216"/>
      <c r="Q169" s="216"/>
      <c r="R169" s="335">
        <v>2</v>
      </c>
      <c r="S169" s="216" t="s">
        <v>305</v>
      </c>
      <c r="T169" s="216"/>
      <c r="U169" s="229"/>
      <c r="V169" s="48">
        <f t="shared" si="13"/>
        <v>169</v>
      </c>
      <c r="W169" s="199" t="str">
        <f t="shared" si="15"/>
        <v>✔</v>
      </c>
      <c r="Y169" s="164"/>
      <c r="Z169" s="242">
        <v>0</v>
      </c>
      <c r="AA169" s="242">
        <v>10</v>
      </c>
      <c r="AB169" s="242">
        <v>0</v>
      </c>
      <c r="AC169" s="242">
        <v>10</v>
      </c>
      <c r="AD169" s="192"/>
    </row>
    <row r="170" spans="1:30" ht="20.100000000000001" customHeight="1" thickBot="1">
      <c r="A170" s="214"/>
      <c r="B170" s="215"/>
      <c r="C170" s="215" t="s">
        <v>441</v>
      </c>
      <c r="D170" s="215"/>
      <c r="E170" s="215"/>
      <c r="F170" s="215"/>
      <c r="G170" s="217"/>
      <c r="H170" s="215"/>
      <c r="I170" s="335">
        <v>0</v>
      </c>
      <c r="J170" s="216" t="s">
        <v>305</v>
      </c>
      <c r="K170" s="216"/>
      <c r="L170" s="216"/>
      <c r="M170" s="216"/>
      <c r="N170" s="216"/>
      <c r="O170" s="216"/>
      <c r="P170" s="216"/>
      <c r="Q170" s="216"/>
      <c r="R170" s="335">
        <v>0</v>
      </c>
      <c r="S170" s="216" t="s">
        <v>305</v>
      </c>
      <c r="T170" s="216"/>
      <c r="U170" s="229"/>
      <c r="V170" s="48">
        <f t="shared" si="13"/>
        <v>170</v>
      </c>
      <c r="W170" s="199" t="str">
        <f t="shared" si="15"/>
        <v>✔</v>
      </c>
      <c r="Y170" s="164"/>
      <c r="Z170" s="242">
        <v>0</v>
      </c>
      <c r="AA170" s="242">
        <v>10</v>
      </c>
      <c r="AB170" s="242">
        <v>0</v>
      </c>
      <c r="AC170" s="242">
        <v>10</v>
      </c>
      <c r="AD170" s="192"/>
    </row>
    <row r="171" spans="1:30" ht="20.100000000000001" customHeight="1" thickBot="1">
      <c r="A171" s="214"/>
      <c r="B171" s="215"/>
      <c r="C171" s="215" t="s">
        <v>442</v>
      </c>
      <c r="D171" s="215"/>
      <c r="E171" s="215"/>
      <c r="F171" s="215"/>
      <c r="G171" s="217"/>
      <c r="H171" s="215"/>
      <c r="I171" s="335">
        <v>0</v>
      </c>
      <c r="J171" s="216" t="s">
        <v>305</v>
      </c>
      <c r="K171" s="216"/>
      <c r="L171" s="216"/>
      <c r="M171" s="216"/>
      <c r="N171" s="216"/>
      <c r="O171" s="216"/>
      <c r="P171" s="216"/>
      <c r="Q171" s="216"/>
      <c r="R171" s="335">
        <v>0</v>
      </c>
      <c r="S171" s="216" t="s">
        <v>305</v>
      </c>
      <c r="T171" s="216"/>
      <c r="U171" s="229"/>
      <c r="V171" s="48">
        <f t="shared" si="13"/>
        <v>171</v>
      </c>
      <c r="W171" s="199" t="str">
        <f t="shared" ref="W171" si="17">IF(OR(I171="",R171=""),"未入力あり","✔")</f>
        <v>✔</v>
      </c>
      <c r="Y171" s="164"/>
      <c r="Z171" s="242">
        <v>0</v>
      </c>
      <c r="AA171" s="242">
        <v>10</v>
      </c>
      <c r="AB171" s="242">
        <v>0</v>
      </c>
      <c r="AC171" s="242">
        <v>10</v>
      </c>
      <c r="AD171" s="192"/>
    </row>
    <row r="172" spans="1:30" ht="20.100000000000001" customHeight="1" thickBot="1">
      <c r="A172" s="214"/>
      <c r="B172" s="215"/>
      <c r="C172" s="215" t="s">
        <v>443</v>
      </c>
      <c r="D172" s="215"/>
      <c r="E172" s="215"/>
      <c r="F172" s="215"/>
      <c r="G172" s="217"/>
      <c r="H172" s="215"/>
      <c r="I172" s="335">
        <v>0</v>
      </c>
      <c r="J172" s="216" t="s">
        <v>305</v>
      </c>
      <c r="K172" s="216"/>
      <c r="L172" s="216"/>
      <c r="M172" s="216"/>
      <c r="N172" s="216"/>
      <c r="O172" s="216"/>
      <c r="P172" s="216"/>
      <c r="Q172" s="216"/>
      <c r="R172" s="335">
        <v>2</v>
      </c>
      <c r="S172" s="216" t="s">
        <v>305</v>
      </c>
      <c r="T172" s="216"/>
      <c r="U172" s="229"/>
      <c r="V172" s="48">
        <f t="shared" si="13"/>
        <v>172</v>
      </c>
      <c r="W172" s="199" t="str">
        <f>IF(OR(I172="",R172=""),"未入力あり","✔")</f>
        <v>✔</v>
      </c>
      <c r="Y172" s="164"/>
      <c r="Z172" s="242">
        <v>0</v>
      </c>
      <c r="AA172" s="242">
        <v>10</v>
      </c>
      <c r="AB172" s="242">
        <v>0</v>
      </c>
      <c r="AC172" s="242">
        <v>10</v>
      </c>
      <c r="AD172" s="192"/>
    </row>
    <row r="173" spans="1:30" ht="20.100000000000001" customHeight="1" thickBot="1">
      <c r="A173" s="214"/>
      <c r="B173" s="215"/>
      <c r="C173" s="266" t="s">
        <v>444</v>
      </c>
      <c r="D173" s="215"/>
      <c r="E173" s="215"/>
      <c r="F173" s="215"/>
      <c r="G173" s="217"/>
      <c r="H173" s="215"/>
      <c r="I173" s="335">
        <v>0</v>
      </c>
      <c r="J173" s="216" t="s">
        <v>305</v>
      </c>
      <c r="K173" s="216"/>
      <c r="L173" s="216"/>
      <c r="M173" s="216"/>
      <c r="N173" s="216"/>
      <c r="O173" s="216"/>
      <c r="P173" s="216"/>
      <c r="Q173" s="216"/>
      <c r="R173" s="335">
        <v>3</v>
      </c>
      <c r="S173" s="216" t="s">
        <v>305</v>
      </c>
      <c r="T173" s="216"/>
      <c r="U173" s="229"/>
      <c r="V173" s="48">
        <f t="shared" si="13"/>
        <v>173</v>
      </c>
      <c r="W173" s="199" t="str">
        <f>IF(OR(I173="",R173=""),"未入力あり","✔")</f>
        <v>✔</v>
      </c>
      <c r="Y173" s="164"/>
      <c r="Z173" s="242">
        <v>0</v>
      </c>
      <c r="AA173" s="242">
        <v>10</v>
      </c>
      <c r="AB173" s="242">
        <v>0</v>
      </c>
      <c r="AC173" s="242">
        <v>10</v>
      </c>
      <c r="AD173" s="192"/>
    </row>
    <row r="174" spans="1:30" ht="20.100000000000001" customHeight="1" thickBot="1">
      <c r="A174" s="214"/>
      <c r="B174" s="215"/>
      <c r="C174" s="266" t="s">
        <v>445</v>
      </c>
      <c r="D174" s="215"/>
      <c r="E174" s="215"/>
      <c r="F174" s="215"/>
      <c r="G174" s="217"/>
      <c r="H174" s="215"/>
      <c r="I174" s="335">
        <v>0</v>
      </c>
      <c r="J174" s="216" t="s">
        <v>305</v>
      </c>
      <c r="K174" s="216"/>
      <c r="L174" s="216"/>
      <c r="M174" s="216"/>
      <c r="N174" s="216"/>
      <c r="O174" s="216"/>
      <c r="P174" s="216"/>
      <c r="Q174" s="216"/>
      <c r="R174" s="335">
        <v>2</v>
      </c>
      <c r="S174" s="216" t="s">
        <v>305</v>
      </c>
      <c r="T174" s="216"/>
      <c r="U174" s="229"/>
      <c r="V174" s="48">
        <f t="shared" si="13"/>
        <v>174</v>
      </c>
      <c r="W174" s="199" t="str">
        <f>IF(OR(I174="",R174=""),"未入力あり","✔")</f>
        <v>✔</v>
      </c>
      <c r="Y174" s="164"/>
      <c r="Z174" s="242">
        <v>0</v>
      </c>
      <c r="AA174" s="242">
        <v>10</v>
      </c>
      <c r="AB174" s="242">
        <v>0</v>
      </c>
      <c r="AC174" s="242">
        <v>10</v>
      </c>
      <c r="AD174" s="192"/>
    </row>
    <row r="175" spans="1:30" ht="20.100000000000001" customHeight="1" thickBot="1">
      <c r="A175" s="214"/>
      <c r="B175" s="215"/>
      <c r="C175" s="266" t="s">
        <v>446</v>
      </c>
      <c r="D175" s="215"/>
      <c r="E175" s="215"/>
      <c r="F175" s="215"/>
      <c r="G175" s="217"/>
      <c r="H175" s="215"/>
      <c r="I175" s="335">
        <v>0</v>
      </c>
      <c r="J175" s="216" t="s">
        <v>305</v>
      </c>
      <c r="K175" s="216"/>
      <c r="L175" s="216"/>
      <c r="M175" s="216"/>
      <c r="N175" s="216"/>
      <c r="O175" s="216"/>
      <c r="P175" s="216"/>
      <c r="Q175" s="216"/>
      <c r="R175" s="335">
        <v>2</v>
      </c>
      <c r="S175" s="216" t="s">
        <v>305</v>
      </c>
      <c r="T175" s="216"/>
      <c r="U175" s="229"/>
      <c r="V175" s="48">
        <f t="shared" si="13"/>
        <v>175</v>
      </c>
      <c r="W175" s="199" t="str">
        <f t="shared" ref="W175" si="18">IF(OR(I175="",R175=""),"未入力あり","✔")</f>
        <v>✔</v>
      </c>
      <c r="Y175" s="164"/>
      <c r="Z175" s="242">
        <v>0</v>
      </c>
      <c r="AA175" s="242">
        <v>10</v>
      </c>
      <c r="AB175" s="242">
        <v>0</v>
      </c>
      <c r="AC175" s="242">
        <v>10</v>
      </c>
      <c r="AD175" s="192"/>
    </row>
    <row r="176" spans="1:30" ht="20.100000000000001" customHeight="1" thickBot="1">
      <c r="A176" s="214"/>
      <c r="B176" s="215"/>
      <c r="C176" s="266" t="s">
        <v>447</v>
      </c>
      <c r="D176" s="215"/>
      <c r="E176" s="215"/>
      <c r="F176" s="215"/>
      <c r="G176" s="217"/>
      <c r="H176" s="215"/>
      <c r="I176" s="335">
        <v>0</v>
      </c>
      <c r="J176" s="216" t="s">
        <v>305</v>
      </c>
      <c r="K176" s="216"/>
      <c r="L176" s="216"/>
      <c r="M176" s="216"/>
      <c r="N176" s="216"/>
      <c r="O176" s="216"/>
      <c r="P176" s="216"/>
      <c r="Q176" s="216"/>
      <c r="R176" s="335">
        <v>1</v>
      </c>
      <c r="S176" s="216" t="s">
        <v>305</v>
      </c>
      <c r="T176" s="216"/>
      <c r="U176" s="229"/>
      <c r="V176" s="48">
        <f t="shared" si="13"/>
        <v>176</v>
      </c>
      <c r="W176" s="199" t="str">
        <f t="shared" ref="W176:W177" si="19">IF(OR(I176="",R176=""),"未入力あり","✔")</f>
        <v>✔</v>
      </c>
      <c r="Y176" s="164"/>
      <c r="Z176" s="242">
        <v>0</v>
      </c>
      <c r="AA176" s="242">
        <v>10</v>
      </c>
      <c r="AB176" s="242">
        <v>0</v>
      </c>
      <c r="AC176" s="242">
        <v>10</v>
      </c>
      <c r="AD176" s="192"/>
    </row>
    <row r="177" spans="1:30" ht="20.100000000000001" customHeight="1" thickBot="1">
      <c r="A177" s="214"/>
      <c r="B177" s="215"/>
      <c r="C177" s="266" t="s">
        <v>448</v>
      </c>
      <c r="D177" s="215"/>
      <c r="E177" s="215"/>
      <c r="F177" s="215"/>
      <c r="G177" s="217"/>
      <c r="H177" s="215"/>
      <c r="I177" s="335">
        <v>0</v>
      </c>
      <c r="J177" s="216" t="s">
        <v>305</v>
      </c>
      <c r="K177" s="216"/>
      <c r="L177" s="216"/>
      <c r="M177" s="216"/>
      <c r="N177" s="216"/>
      <c r="O177" s="216"/>
      <c r="P177" s="216"/>
      <c r="Q177" s="216"/>
      <c r="R177" s="335">
        <v>0</v>
      </c>
      <c r="S177" s="216" t="s">
        <v>305</v>
      </c>
      <c r="T177" s="216"/>
      <c r="U177" s="229"/>
      <c r="V177" s="48">
        <f t="shared" si="13"/>
        <v>177</v>
      </c>
      <c r="W177" s="199" t="str">
        <f t="shared" si="19"/>
        <v>✔</v>
      </c>
      <c r="Y177" s="164"/>
      <c r="Z177" s="242">
        <v>0</v>
      </c>
      <c r="AA177" s="242">
        <v>10</v>
      </c>
      <c r="AB177" s="242">
        <v>0</v>
      </c>
      <c r="AC177" s="242">
        <v>10</v>
      </c>
      <c r="AD177" s="192"/>
    </row>
    <row r="178" spans="1:30" ht="20.100000000000001" customHeight="1" thickBot="1">
      <c r="A178" s="214"/>
      <c r="B178" s="215"/>
      <c r="C178" s="266" t="s">
        <v>449</v>
      </c>
      <c r="D178" s="215"/>
      <c r="E178" s="215"/>
      <c r="F178" s="215"/>
      <c r="G178" s="217"/>
      <c r="H178" s="215"/>
      <c r="I178" s="335">
        <v>0</v>
      </c>
      <c r="J178" s="216" t="s">
        <v>305</v>
      </c>
      <c r="K178" s="216"/>
      <c r="L178" s="216"/>
      <c r="M178" s="216"/>
      <c r="N178" s="216"/>
      <c r="O178" s="216"/>
      <c r="P178" s="216"/>
      <c r="Q178" s="216"/>
      <c r="R178" s="335">
        <v>1</v>
      </c>
      <c r="S178" s="216" t="s">
        <v>305</v>
      </c>
      <c r="T178" s="216"/>
      <c r="U178" s="229"/>
      <c r="V178" s="48">
        <f t="shared" si="13"/>
        <v>178</v>
      </c>
      <c r="W178" s="199" t="str">
        <f>IF(OR(I178="",R178=""),"未入力あり","✔")</f>
        <v>✔</v>
      </c>
      <c r="Y178" s="164"/>
      <c r="Z178" s="242">
        <v>0</v>
      </c>
      <c r="AA178" s="242">
        <v>10</v>
      </c>
      <c r="AB178" s="242">
        <v>0</v>
      </c>
      <c r="AC178" s="242">
        <v>10</v>
      </c>
      <c r="AD178" s="192"/>
    </row>
    <row r="179" spans="1:30" ht="20.100000000000001" customHeight="1">
      <c r="A179" s="214"/>
      <c r="B179" s="215"/>
      <c r="C179" s="215"/>
      <c r="D179" s="215"/>
      <c r="E179" s="215"/>
      <c r="F179" s="215"/>
      <c r="G179" s="217"/>
      <c r="H179" s="215"/>
      <c r="I179" s="265"/>
      <c r="J179" s="216"/>
      <c r="K179" s="216"/>
      <c r="L179" s="216"/>
      <c r="M179" s="216"/>
      <c r="N179" s="216"/>
      <c r="O179" s="216"/>
      <c r="P179" s="216"/>
      <c r="Q179" s="216"/>
      <c r="R179" s="265"/>
      <c r="S179" s="216"/>
      <c r="T179" s="216"/>
      <c r="U179" s="229"/>
      <c r="V179" s="48">
        <f t="shared" si="13"/>
        <v>179</v>
      </c>
      <c r="Y179" s="164"/>
      <c r="Z179" s="192"/>
      <c r="AA179" s="192"/>
      <c r="AB179" s="192"/>
      <c r="AC179" s="192"/>
      <c r="AD179" s="192"/>
    </row>
    <row r="180" spans="1:30" ht="20.100000000000001" customHeight="1">
      <c r="A180" s="214"/>
      <c r="B180" s="215" t="s">
        <v>450</v>
      </c>
      <c r="C180" s="215"/>
      <c r="D180" s="215"/>
      <c r="E180" s="215"/>
      <c r="F180" s="216"/>
      <c r="G180" s="217"/>
      <c r="H180" s="230"/>
      <c r="I180" s="235" t="s">
        <v>338</v>
      </c>
      <c r="J180" s="216"/>
      <c r="K180" s="216"/>
      <c r="L180" s="216"/>
      <c r="M180" s="216"/>
      <c r="N180" s="216"/>
      <c r="O180" s="216"/>
      <c r="P180" s="216"/>
      <c r="Q180" s="216"/>
      <c r="R180" s="235" t="s">
        <v>339</v>
      </c>
      <c r="S180" s="216"/>
      <c r="T180" s="216"/>
      <c r="U180" s="229"/>
      <c r="V180" s="48">
        <f t="shared" si="13"/>
        <v>180</v>
      </c>
      <c r="Y180" s="164"/>
      <c r="Z180" s="192"/>
      <c r="AA180" s="192"/>
      <c r="AB180" s="192"/>
      <c r="AC180" s="192"/>
      <c r="AD180" s="192"/>
    </row>
    <row r="181" spans="1:30" ht="20.100000000000001" customHeight="1" thickBot="1">
      <c r="A181" s="214"/>
      <c r="B181" s="215"/>
      <c r="C181" s="215"/>
      <c r="D181" s="215"/>
      <c r="E181" s="215"/>
      <c r="F181" s="216"/>
      <c r="G181" s="217"/>
      <c r="H181" s="230"/>
      <c r="I181" s="235" t="s">
        <v>341</v>
      </c>
      <c r="J181" s="216"/>
      <c r="K181" s="216"/>
      <c r="L181" s="216"/>
      <c r="M181" s="216"/>
      <c r="N181" s="216"/>
      <c r="O181" s="216"/>
      <c r="P181" s="216"/>
      <c r="Q181" s="216"/>
      <c r="S181" s="216"/>
      <c r="T181" s="216"/>
      <c r="U181" s="229"/>
      <c r="V181" s="48">
        <f t="shared" si="13"/>
        <v>181</v>
      </c>
      <c r="Y181" s="164"/>
      <c r="Z181" s="192"/>
      <c r="AA181" s="192"/>
      <c r="AB181" s="192"/>
      <c r="AC181" s="192"/>
      <c r="AD181" s="192"/>
    </row>
    <row r="182" spans="1:30" ht="19.5" customHeight="1" thickBot="1">
      <c r="A182" s="214"/>
      <c r="B182" s="215"/>
      <c r="C182" s="215" t="s">
        <v>451</v>
      </c>
      <c r="D182" s="215"/>
      <c r="E182" s="215"/>
      <c r="F182" s="215"/>
      <c r="G182" s="215"/>
      <c r="H182" s="267"/>
      <c r="I182" s="335">
        <v>0</v>
      </c>
      <c r="J182" s="216" t="s">
        <v>305</v>
      </c>
      <c r="K182" s="216"/>
      <c r="L182" s="216"/>
      <c r="M182" s="216"/>
      <c r="N182" s="216"/>
      <c r="O182" s="216"/>
      <c r="P182" s="216"/>
      <c r="Q182" s="216"/>
      <c r="R182" s="335">
        <v>1</v>
      </c>
      <c r="S182" s="216" t="s">
        <v>305</v>
      </c>
      <c r="T182" s="216"/>
      <c r="U182" s="229"/>
      <c r="V182" s="48">
        <f t="shared" si="13"/>
        <v>182</v>
      </c>
      <c r="W182" s="199" t="str">
        <f t="shared" ref="W182:W194" si="20">IF(OR(I182="",R182=""),"未入力あり","✔")</f>
        <v>✔</v>
      </c>
      <c r="Y182" s="164"/>
      <c r="Z182" s="242">
        <v>0</v>
      </c>
      <c r="AA182" s="242">
        <v>10</v>
      </c>
      <c r="AB182" s="242">
        <v>0</v>
      </c>
      <c r="AC182" s="242">
        <v>10</v>
      </c>
      <c r="AD182" s="192"/>
    </row>
    <row r="183" spans="1:30" ht="19.5" customHeight="1" thickBot="1">
      <c r="A183" s="214"/>
      <c r="B183" s="215"/>
      <c r="C183" s="215" t="s">
        <v>452</v>
      </c>
      <c r="D183" s="215"/>
      <c r="E183" s="215"/>
      <c r="F183" s="216"/>
      <c r="G183" s="217"/>
      <c r="H183" s="6"/>
      <c r="I183" s="335">
        <v>0</v>
      </c>
      <c r="J183" s="216" t="s">
        <v>305</v>
      </c>
      <c r="K183" s="216"/>
      <c r="L183" s="216"/>
      <c r="M183" s="216"/>
      <c r="N183" s="216"/>
      <c r="O183" s="216"/>
      <c r="P183" s="216"/>
      <c r="Q183" s="216"/>
      <c r="R183" s="335">
        <v>1</v>
      </c>
      <c r="S183" s="216" t="s">
        <v>305</v>
      </c>
      <c r="T183" s="216"/>
      <c r="U183" s="229"/>
      <c r="V183" s="48">
        <f t="shared" si="13"/>
        <v>183</v>
      </c>
      <c r="W183" s="199" t="str">
        <f t="shared" si="20"/>
        <v>✔</v>
      </c>
      <c r="Y183" s="164"/>
      <c r="Z183" s="242">
        <v>0</v>
      </c>
      <c r="AA183" s="242">
        <v>10</v>
      </c>
      <c r="AB183" s="242">
        <v>0</v>
      </c>
      <c r="AC183" s="242">
        <v>10</v>
      </c>
      <c r="AD183" s="192"/>
    </row>
    <row r="184" spans="1:30" ht="19.5" customHeight="1" thickBot="1">
      <c r="A184" s="214"/>
      <c r="B184" s="215"/>
      <c r="C184" s="215" t="s">
        <v>453</v>
      </c>
      <c r="D184" s="215"/>
      <c r="E184" s="215"/>
      <c r="F184" s="216"/>
      <c r="G184" s="217"/>
      <c r="H184" s="268"/>
      <c r="I184" s="335">
        <v>0</v>
      </c>
      <c r="J184" s="216" t="s">
        <v>305</v>
      </c>
      <c r="K184" s="216"/>
      <c r="L184" s="216"/>
      <c r="M184" s="216"/>
      <c r="N184" s="216"/>
      <c r="O184" s="216"/>
      <c r="P184" s="216"/>
      <c r="Q184" s="216"/>
      <c r="R184" s="335">
        <v>2</v>
      </c>
      <c r="S184" s="216" t="s">
        <v>305</v>
      </c>
      <c r="T184" s="216"/>
      <c r="U184" s="229"/>
      <c r="V184" s="48">
        <f t="shared" si="13"/>
        <v>184</v>
      </c>
      <c r="W184" s="199" t="str">
        <f t="shared" si="20"/>
        <v>✔</v>
      </c>
      <c r="Y184" s="164"/>
      <c r="Z184" s="242">
        <v>0</v>
      </c>
      <c r="AA184" s="242">
        <v>10</v>
      </c>
      <c r="AB184" s="242">
        <v>0</v>
      </c>
      <c r="AC184" s="242">
        <v>10</v>
      </c>
      <c r="AD184" s="192"/>
    </row>
    <row r="185" spans="1:30" ht="19.5" customHeight="1" thickBot="1">
      <c r="A185" s="214"/>
      <c r="B185" s="215"/>
      <c r="C185" s="215" t="s">
        <v>454</v>
      </c>
      <c r="D185" s="217"/>
      <c r="E185" s="217"/>
      <c r="F185" s="217"/>
      <c r="G185" s="217"/>
      <c r="H185" s="269"/>
      <c r="I185" s="335">
        <v>0.8</v>
      </c>
      <c r="J185" s="216" t="s">
        <v>305</v>
      </c>
      <c r="K185" s="216"/>
      <c r="L185" s="216"/>
      <c r="M185" s="216"/>
      <c r="N185" s="216"/>
      <c r="O185" s="216"/>
      <c r="P185" s="216"/>
      <c r="Q185" s="216"/>
      <c r="R185" s="335">
        <v>2</v>
      </c>
      <c r="S185" s="216" t="s">
        <v>305</v>
      </c>
      <c r="T185" s="216"/>
      <c r="U185" s="229"/>
      <c r="V185" s="48">
        <f t="shared" si="13"/>
        <v>185</v>
      </c>
      <c r="W185" s="199" t="str">
        <f t="shared" si="20"/>
        <v>✔</v>
      </c>
      <c r="Y185" s="164"/>
      <c r="Z185" s="242">
        <v>0</v>
      </c>
      <c r="AA185" s="242">
        <v>10</v>
      </c>
      <c r="AB185" s="242">
        <v>0</v>
      </c>
      <c r="AC185" s="242">
        <v>10</v>
      </c>
      <c r="AD185" s="192"/>
    </row>
    <row r="186" spans="1:30" ht="39" customHeight="1" thickBot="1">
      <c r="A186" s="214"/>
      <c r="B186" s="215"/>
      <c r="C186" s="1189" t="s">
        <v>455</v>
      </c>
      <c r="D186" s="1189"/>
      <c r="E186" s="1189"/>
      <c r="F186" s="1189"/>
      <c r="G186" s="1189"/>
      <c r="H186" s="1197"/>
      <c r="I186" s="335">
        <v>0</v>
      </c>
      <c r="J186" s="216" t="s">
        <v>305</v>
      </c>
      <c r="K186" s="216"/>
      <c r="L186" s="216"/>
      <c r="M186" s="216"/>
      <c r="N186" s="216"/>
      <c r="O186" s="216"/>
      <c r="P186" s="216"/>
      <c r="Q186" s="216"/>
      <c r="R186" s="335">
        <v>6</v>
      </c>
      <c r="S186" s="216" t="s">
        <v>305</v>
      </c>
      <c r="T186" s="216"/>
      <c r="U186" s="229"/>
      <c r="V186" s="48">
        <f t="shared" si="13"/>
        <v>186</v>
      </c>
      <c r="W186" s="199" t="str">
        <f t="shared" si="20"/>
        <v>✔</v>
      </c>
      <c r="Y186" s="164"/>
      <c r="Z186" s="242">
        <v>0</v>
      </c>
      <c r="AA186" s="242">
        <v>10</v>
      </c>
      <c r="AB186" s="242">
        <v>0</v>
      </c>
      <c r="AC186" s="253">
        <v>20</v>
      </c>
      <c r="AD186" s="192"/>
    </row>
    <row r="187" spans="1:30" ht="19.5" customHeight="1" thickBot="1">
      <c r="A187" s="214"/>
      <c r="B187" s="215"/>
      <c r="C187" s="215" t="s">
        <v>456</v>
      </c>
      <c r="D187" s="217"/>
      <c r="E187" s="217"/>
      <c r="F187" s="217"/>
      <c r="G187" s="217"/>
      <c r="H187" s="269"/>
      <c r="I187" s="335">
        <v>0</v>
      </c>
      <c r="J187" s="216" t="s">
        <v>305</v>
      </c>
      <c r="K187" s="216"/>
      <c r="L187" s="216"/>
      <c r="M187" s="216"/>
      <c r="N187" s="216"/>
      <c r="O187" s="216"/>
      <c r="P187" s="216"/>
      <c r="Q187" s="216"/>
      <c r="R187" s="335">
        <v>3</v>
      </c>
      <c r="S187" s="216" t="s">
        <v>305</v>
      </c>
      <c r="T187" s="216"/>
      <c r="U187" s="229"/>
      <c r="V187" s="48">
        <f t="shared" si="13"/>
        <v>187</v>
      </c>
      <c r="W187" s="199" t="str">
        <f t="shared" si="20"/>
        <v>✔</v>
      </c>
      <c r="Y187" s="164"/>
      <c r="Z187" s="242">
        <v>0</v>
      </c>
      <c r="AA187" s="242">
        <v>10</v>
      </c>
      <c r="AB187" s="242">
        <v>0</v>
      </c>
      <c r="AC187" s="242">
        <v>10</v>
      </c>
      <c r="AD187" s="192"/>
    </row>
    <row r="188" spans="1:30" ht="19.5" customHeight="1" thickBot="1">
      <c r="A188" s="214"/>
      <c r="B188" s="215"/>
      <c r="C188" s="215" t="s">
        <v>457</v>
      </c>
      <c r="D188" s="217"/>
      <c r="E188" s="217"/>
      <c r="F188" s="217"/>
      <c r="G188" s="217"/>
      <c r="H188" s="269"/>
      <c r="I188" s="335">
        <v>0</v>
      </c>
      <c r="J188" s="216" t="s">
        <v>305</v>
      </c>
      <c r="K188" s="216"/>
      <c r="L188" s="216"/>
      <c r="M188" s="216"/>
      <c r="N188" s="216"/>
      <c r="O188" s="216"/>
      <c r="P188" s="216"/>
      <c r="Q188" s="216"/>
      <c r="R188" s="335">
        <v>3</v>
      </c>
      <c r="S188" s="216" t="s">
        <v>305</v>
      </c>
      <c r="T188" s="216"/>
      <c r="U188" s="229"/>
      <c r="V188" s="48">
        <f t="shared" si="13"/>
        <v>188</v>
      </c>
      <c r="W188" s="199" t="str">
        <f t="shared" si="20"/>
        <v>✔</v>
      </c>
      <c r="Y188" s="164"/>
      <c r="Z188" s="242">
        <v>0</v>
      </c>
      <c r="AA188" s="242">
        <v>10</v>
      </c>
      <c r="AB188" s="242">
        <v>0</v>
      </c>
      <c r="AC188" s="242">
        <v>10</v>
      </c>
      <c r="AD188" s="192"/>
    </row>
    <row r="189" spans="1:30" ht="19.5" customHeight="1" thickBot="1">
      <c r="A189" s="214"/>
      <c r="B189" s="215"/>
      <c r="C189" s="215" t="s">
        <v>458</v>
      </c>
      <c r="D189" s="215"/>
      <c r="E189" s="215"/>
      <c r="F189" s="216"/>
      <c r="G189" s="217"/>
      <c r="H189" s="6"/>
      <c r="I189" s="335">
        <v>0</v>
      </c>
      <c r="J189" s="216" t="s">
        <v>305</v>
      </c>
      <c r="K189" s="216"/>
      <c r="L189" s="216"/>
      <c r="M189" s="216"/>
      <c r="N189" s="216"/>
      <c r="O189" s="216"/>
      <c r="P189" s="216"/>
      <c r="Q189" s="216"/>
      <c r="R189" s="335">
        <v>3</v>
      </c>
      <c r="S189" s="216" t="s">
        <v>305</v>
      </c>
      <c r="T189" s="216"/>
      <c r="U189" s="229"/>
      <c r="V189" s="48">
        <f t="shared" si="13"/>
        <v>189</v>
      </c>
      <c r="W189" s="199" t="str">
        <f t="shared" si="20"/>
        <v>✔</v>
      </c>
      <c r="Y189" s="164"/>
      <c r="Z189" s="242">
        <v>0</v>
      </c>
      <c r="AA189" s="242">
        <v>10</v>
      </c>
      <c r="AB189" s="242">
        <v>0</v>
      </c>
      <c r="AC189" s="242">
        <v>10</v>
      </c>
      <c r="AD189" s="192"/>
    </row>
    <row r="190" spans="1:30" ht="19.5" customHeight="1" thickBot="1">
      <c r="A190" s="214"/>
      <c r="B190" s="215"/>
      <c r="C190" s="215" t="s">
        <v>459</v>
      </c>
      <c r="D190" s="215"/>
      <c r="E190" s="215"/>
      <c r="F190" s="216"/>
      <c r="G190" s="217"/>
      <c r="H190" s="6"/>
      <c r="I190" s="335">
        <v>0</v>
      </c>
      <c r="J190" s="216" t="s">
        <v>305</v>
      </c>
      <c r="K190" s="216"/>
      <c r="L190" s="216"/>
      <c r="M190" s="216"/>
      <c r="N190" s="216"/>
      <c r="O190" s="216"/>
      <c r="P190" s="216"/>
      <c r="Q190" s="216"/>
      <c r="R190" s="335">
        <v>7</v>
      </c>
      <c r="S190" s="216" t="s">
        <v>305</v>
      </c>
      <c r="T190" s="216"/>
      <c r="U190" s="229"/>
      <c r="V190" s="48">
        <f t="shared" si="13"/>
        <v>190</v>
      </c>
      <c r="W190" s="199" t="str">
        <f t="shared" si="20"/>
        <v>✔</v>
      </c>
      <c r="Y190" s="164"/>
      <c r="Z190" s="242">
        <v>0</v>
      </c>
      <c r="AA190" s="242">
        <v>10</v>
      </c>
      <c r="AB190" s="242">
        <v>0</v>
      </c>
      <c r="AC190" s="253">
        <v>20</v>
      </c>
      <c r="AD190" s="192"/>
    </row>
    <row r="191" spans="1:30" ht="19.5" customHeight="1" thickBot="1">
      <c r="A191" s="214"/>
      <c r="B191" s="215"/>
      <c r="C191" s="270" t="s">
        <v>460</v>
      </c>
      <c r="D191" s="215"/>
      <c r="E191" s="215"/>
      <c r="F191" s="216"/>
      <c r="G191" s="217"/>
      <c r="H191" s="6"/>
      <c r="I191" s="335">
        <v>0</v>
      </c>
      <c r="J191" s="216" t="s">
        <v>305</v>
      </c>
      <c r="K191" s="216"/>
      <c r="L191" s="216"/>
      <c r="M191" s="216"/>
      <c r="N191" s="216"/>
      <c r="O191" s="216"/>
      <c r="P191" s="216"/>
      <c r="Q191" s="216"/>
      <c r="R191" s="335">
        <v>0</v>
      </c>
      <c r="S191" s="216" t="s">
        <v>305</v>
      </c>
      <c r="T191" s="216"/>
      <c r="U191" s="229"/>
      <c r="V191" s="48">
        <f t="shared" si="13"/>
        <v>191</v>
      </c>
      <c r="W191" s="199" t="str">
        <f t="shared" si="20"/>
        <v>✔</v>
      </c>
      <c r="Y191" s="164"/>
      <c r="Z191" s="242">
        <v>0</v>
      </c>
      <c r="AA191" s="242">
        <v>10</v>
      </c>
      <c r="AB191" s="242">
        <v>0</v>
      </c>
      <c r="AC191" s="242">
        <v>10</v>
      </c>
      <c r="AD191" s="192"/>
    </row>
    <row r="192" spans="1:30" ht="19.5" customHeight="1" thickBot="1">
      <c r="A192" s="214"/>
      <c r="B192" s="215"/>
      <c r="C192" s="215" t="s">
        <v>461</v>
      </c>
      <c r="D192" s="215"/>
      <c r="E192" s="215"/>
      <c r="F192" s="216"/>
      <c r="G192" s="217"/>
      <c r="H192" s="6"/>
      <c r="I192" s="335">
        <v>0</v>
      </c>
      <c r="J192" s="216" t="s">
        <v>305</v>
      </c>
      <c r="K192" s="216"/>
      <c r="L192" s="216"/>
      <c r="M192" s="216"/>
      <c r="N192" s="216"/>
      <c r="O192" s="216"/>
      <c r="P192" s="216"/>
      <c r="Q192" s="216"/>
      <c r="R192" s="335">
        <v>1</v>
      </c>
      <c r="S192" s="216" t="s">
        <v>305</v>
      </c>
      <c r="T192" s="216"/>
      <c r="U192" s="229"/>
      <c r="V192" s="48">
        <f t="shared" si="13"/>
        <v>192</v>
      </c>
      <c r="W192" s="199" t="str">
        <f t="shared" si="20"/>
        <v>✔</v>
      </c>
      <c r="Y192" s="164"/>
      <c r="Z192" s="242">
        <v>0</v>
      </c>
      <c r="AA192" s="242">
        <v>10</v>
      </c>
      <c r="AB192" s="242">
        <v>0</v>
      </c>
      <c r="AC192" s="242">
        <v>10</v>
      </c>
      <c r="AD192" s="192"/>
    </row>
    <row r="193" spans="1:30" ht="39" customHeight="1" thickBot="1">
      <c r="A193" s="214"/>
      <c r="B193" s="215"/>
      <c r="C193" s="1189" t="s">
        <v>462</v>
      </c>
      <c r="D193" s="1189"/>
      <c r="E193" s="1189"/>
      <c r="F193" s="1189"/>
      <c r="G193" s="1189"/>
      <c r="H193" s="1197"/>
      <c r="I193" s="335">
        <v>0</v>
      </c>
      <c r="J193" s="216" t="s">
        <v>305</v>
      </c>
      <c r="K193" s="216"/>
      <c r="L193" s="216"/>
      <c r="M193" s="216"/>
      <c r="N193" s="216"/>
      <c r="O193" s="216"/>
      <c r="P193" s="216"/>
      <c r="Q193" s="216"/>
      <c r="R193" s="335">
        <v>1</v>
      </c>
      <c r="S193" s="216" t="s">
        <v>305</v>
      </c>
      <c r="T193" s="216"/>
      <c r="U193" s="229"/>
      <c r="V193" s="48">
        <f t="shared" si="13"/>
        <v>193</v>
      </c>
      <c r="W193" s="199" t="str">
        <f t="shared" si="20"/>
        <v>✔</v>
      </c>
      <c r="Y193" s="164"/>
      <c r="Z193" s="242">
        <v>0</v>
      </c>
      <c r="AA193" s="242">
        <v>10</v>
      </c>
      <c r="AB193" s="242">
        <v>0</v>
      </c>
      <c r="AC193" s="242">
        <v>10</v>
      </c>
      <c r="AD193" s="192"/>
    </row>
    <row r="194" spans="1:30" ht="19.5" customHeight="1" thickBot="1">
      <c r="A194" s="214"/>
      <c r="B194" s="215"/>
      <c r="C194" s="215" t="s">
        <v>463</v>
      </c>
      <c r="D194" s="215"/>
      <c r="E194" s="215"/>
      <c r="F194" s="216"/>
      <c r="G194" s="217"/>
      <c r="H194" s="6"/>
      <c r="I194" s="335">
        <v>7.2</v>
      </c>
      <c r="J194" s="216" t="s">
        <v>305</v>
      </c>
      <c r="K194" s="216"/>
      <c r="L194" s="216"/>
      <c r="M194" s="216"/>
      <c r="N194" s="216"/>
      <c r="O194" s="216"/>
      <c r="P194" s="216"/>
      <c r="Q194" s="216"/>
      <c r="R194" s="335">
        <v>8</v>
      </c>
      <c r="S194" s="216" t="s">
        <v>305</v>
      </c>
      <c r="T194" s="216"/>
      <c r="U194" s="229"/>
      <c r="V194" s="48">
        <f t="shared" si="13"/>
        <v>194</v>
      </c>
      <c r="W194" s="199" t="str">
        <f t="shared" si="20"/>
        <v>✔</v>
      </c>
      <c r="Y194" s="164"/>
      <c r="Z194" s="242">
        <v>0</v>
      </c>
      <c r="AA194" s="242">
        <v>10</v>
      </c>
      <c r="AB194" s="242">
        <v>0</v>
      </c>
      <c r="AC194" s="253">
        <v>30</v>
      </c>
      <c r="AD194" s="192"/>
    </row>
    <row r="195" spans="1:30" ht="19.5" customHeight="1" thickBot="1">
      <c r="A195" s="214"/>
      <c r="B195" s="215"/>
      <c r="C195" s="207" t="s">
        <v>464</v>
      </c>
      <c r="D195" s="207"/>
      <c r="E195" s="207"/>
      <c r="F195" s="208"/>
      <c r="G195" s="209"/>
      <c r="H195" s="271"/>
      <c r="I195" s="335">
        <v>0</v>
      </c>
      <c r="J195" s="216" t="s">
        <v>305</v>
      </c>
      <c r="K195" s="216"/>
      <c r="L195" s="216"/>
      <c r="M195" s="216"/>
      <c r="N195" s="216"/>
      <c r="O195" s="216"/>
      <c r="P195" s="216"/>
      <c r="Q195" s="216"/>
      <c r="R195" s="335">
        <v>0</v>
      </c>
      <c r="S195" s="216" t="s">
        <v>305</v>
      </c>
      <c r="T195" s="216"/>
      <c r="U195" s="229"/>
      <c r="V195" s="48">
        <f t="shared" si="13"/>
        <v>195</v>
      </c>
      <c r="W195" s="199" t="str">
        <f t="shared" ref="W195" si="21">IF(OR(I195="",R195=""),"未入力あり","✔")</f>
        <v>✔</v>
      </c>
      <c r="Y195" s="164"/>
      <c r="Z195" s="242">
        <v>0</v>
      </c>
      <c r="AA195" s="242">
        <v>10</v>
      </c>
      <c r="AB195" s="242">
        <v>0</v>
      </c>
      <c r="AC195" s="242">
        <v>10</v>
      </c>
      <c r="AD195" s="192"/>
    </row>
    <row r="196" spans="1:30" ht="20.100000000000001" customHeight="1">
      <c r="A196" s="214"/>
      <c r="B196" s="215"/>
      <c r="C196" s="207"/>
      <c r="D196" s="207"/>
      <c r="E196" s="207"/>
      <c r="F196" s="208"/>
      <c r="G196" s="209"/>
      <c r="H196" s="271"/>
      <c r="I196" s="265"/>
      <c r="J196" s="216"/>
      <c r="K196" s="216"/>
      <c r="L196" s="216"/>
      <c r="M196" s="216"/>
      <c r="N196" s="216"/>
      <c r="O196" s="216"/>
      <c r="P196" s="216"/>
      <c r="Q196" s="216"/>
      <c r="R196" s="265"/>
      <c r="S196" s="216"/>
      <c r="T196" s="216"/>
      <c r="U196" s="229"/>
      <c r="V196" s="48">
        <f t="shared" si="13"/>
        <v>196</v>
      </c>
      <c r="Y196" s="164"/>
      <c r="Z196" s="192"/>
      <c r="AA196" s="192"/>
      <c r="AB196" s="192"/>
      <c r="AC196" s="192"/>
      <c r="AD196" s="192"/>
    </row>
    <row r="197" spans="1:30" ht="20.100000000000001" customHeight="1" thickBot="1">
      <c r="A197" s="214"/>
      <c r="B197" s="215" t="s">
        <v>465</v>
      </c>
      <c r="C197" s="215"/>
      <c r="D197" s="215"/>
      <c r="E197" s="215"/>
      <c r="F197" s="216"/>
      <c r="G197" s="217"/>
      <c r="H197" s="230"/>
      <c r="I197" s="272"/>
      <c r="J197" s="216"/>
      <c r="K197" s="216"/>
      <c r="L197" s="216"/>
      <c r="M197" s="216"/>
      <c r="N197" s="216"/>
      <c r="O197" s="216"/>
      <c r="P197" s="216"/>
      <c r="Q197" s="216"/>
      <c r="R197" s="272"/>
      <c r="S197" s="216"/>
      <c r="T197" s="216"/>
      <c r="U197" s="229"/>
      <c r="V197" s="48">
        <f t="shared" si="13"/>
        <v>197</v>
      </c>
      <c r="Y197" s="164"/>
      <c r="Z197" s="192"/>
      <c r="AA197" s="192"/>
      <c r="AB197" s="192"/>
      <c r="AC197" s="192"/>
      <c r="AD197" s="192"/>
    </row>
    <row r="198" spans="1:30" ht="19.5" customHeight="1" thickBot="1">
      <c r="A198" s="214"/>
      <c r="B198" s="215"/>
      <c r="C198" s="215" t="s">
        <v>466</v>
      </c>
      <c r="D198" s="215"/>
      <c r="E198" s="215"/>
      <c r="F198" s="216"/>
      <c r="G198" s="217"/>
      <c r="H198" s="230"/>
      <c r="I198" s="335">
        <v>7</v>
      </c>
      <c r="J198" s="216" t="s">
        <v>305</v>
      </c>
      <c r="K198" s="216"/>
      <c r="L198" s="216"/>
      <c r="M198" s="216"/>
      <c r="N198" s="216"/>
      <c r="O198" s="216"/>
      <c r="P198" s="216"/>
      <c r="Q198" s="216"/>
      <c r="R198" s="335">
        <v>2</v>
      </c>
      <c r="S198" s="216" t="s">
        <v>305</v>
      </c>
      <c r="T198" s="216"/>
      <c r="U198" s="229"/>
      <c r="V198" s="48">
        <f t="shared" si="13"/>
        <v>198</v>
      </c>
      <c r="W198" s="199" t="str">
        <f>IF(OR(I198="",R198=""),"未入力あり","✔")</f>
        <v>✔</v>
      </c>
      <c r="Y198" s="164"/>
      <c r="Z198" s="242">
        <v>0</v>
      </c>
      <c r="AA198" s="253">
        <v>10</v>
      </c>
      <c r="AB198" s="242">
        <v>0</v>
      </c>
      <c r="AC198" s="253">
        <v>20</v>
      </c>
      <c r="AD198" s="192"/>
    </row>
    <row r="199" spans="1:30" ht="20.100000000000001" customHeight="1" thickBot="1">
      <c r="A199" s="214"/>
      <c r="B199" s="215"/>
      <c r="C199" s="215" t="s">
        <v>467</v>
      </c>
      <c r="D199" s="215"/>
      <c r="E199" s="215"/>
      <c r="F199" s="216"/>
      <c r="G199" s="217"/>
      <c r="H199" s="273"/>
      <c r="I199" s="335">
        <v>2</v>
      </c>
      <c r="J199" s="216" t="s">
        <v>305</v>
      </c>
      <c r="K199" s="216"/>
      <c r="L199" s="216"/>
      <c r="M199" s="216"/>
      <c r="N199" s="216"/>
      <c r="O199" s="216"/>
      <c r="P199" s="216"/>
      <c r="Q199" s="216"/>
      <c r="R199" s="335">
        <v>3</v>
      </c>
      <c r="S199" s="216" t="s">
        <v>305</v>
      </c>
      <c r="T199" s="216"/>
      <c r="U199" s="229"/>
      <c r="V199" s="48">
        <f t="shared" si="13"/>
        <v>199</v>
      </c>
      <c r="W199" s="199" t="str">
        <f>IF(OR(I199="",R199=""),"未入力あり","✔")</f>
        <v>✔</v>
      </c>
      <c r="Y199" s="164"/>
      <c r="Z199" s="242">
        <v>0</v>
      </c>
      <c r="AA199" s="242">
        <v>10</v>
      </c>
      <c r="AB199" s="242">
        <v>0</v>
      </c>
      <c r="AC199" s="242">
        <v>10</v>
      </c>
      <c r="AD199" s="192"/>
    </row>
    <row r="200" spans="1:30" ht="20.100000000000001" customHeight="1" thickBot="1">
      <c r="A200" s="214"/>
      <c r="B200" s="215"/>
      <c r="C200" s="251" t="s">
        <v>468</v>
      </c>
      <c r="D200" s="215"/>
      <c r="E200" s="215"/>
      <c r="F200" s="216"/>
      <c r="G200" s="217"/>
      <c r="H200" s="273"/>
      <c r="I200" s="335">
        <v>0</v>
      </c>
      <c r="J200" s="216" t="s">
        <v>305</v>
      </c>
      <c r="K200" s="216"/>
      <c r="L200" s="216"/>
      <c r="M200" s="216"/>
      <c r="N200" s="216"/>
      <c r="O200" s="216"/>
      <c r="P200" s="216"/>
      <c r="Q200" s="216"/>
      <c r="R200" s="335">
        <v>0</v>
      </c>
      <c r="S200" s="216" t="s">
        <v>305</v>
      </c>
      <c r="T200" s="216"/>
      <c r="U200" s="229"/>
      <c r="V200" s="48">
        <f t="shared" si="13"/>
        <v>200</v>
      </c>
      <c r="W200" s="199" t="str">
        <f>IF(OR(I200="",R200=""),"未入力あり","✔")</f>
        <v>✔</v>
      </c>
      <c r="Y200" s="164"/>
      <c r="Z200" s="242">
        <v>0</v>
      </c>
      <c r="AA200" s="242">
        <v>10</v>
      </c>
      <c r="AB200" s="242">
        <v>0</v>
      </c>
      <c r="AC200" s="253">
        <v>20</v>
      </c>
      <c r="AD200" s="192"/>
    </row>
    <row r="201" spans="1:30" ht="20.100000000000001" customHeight="1" thickBot="1">
      <c r="A201" s="214" t="s">
        <v>469</v>
      </c>
      <c r="B201" s="215"/>
      <c r="C201" s="215"/>
      <c r="D201" s="215"/>
      <c r="E201" s="215"/>
      <c r="F201" s="216"/>
      <c r="G201" s="217"/>
      <c r="H201" s="230"/>
      <c r="I201" s="235"/>
      <c r="J201" s="5"/>
      <c r="K201" s="5"/>
      <c r="L201" s="5"/>
      <c r="M201" s="5"/>
      <c r="N201" s="5"/>
      <c r="O201" s="5"/>
      <c r="P201" s="5"/>
      <c r="Q201" s="5"/>
      <c r="R201" s="235"/>
      <c r="S201" s="5"/>
      <c r="T201" s="216"/>
      <c r="U201" s="229"/>
      <c r="V201" s="48">
        <f t="shared" si="13"/>
        <v>201</v>
      </c>
      <c r="Y201" s="164"/>
      <c r="Z201" s="192"/>
      <c r="AA201" s="192"/>
      <c r="AB201" s="192"/>
      <c r="AC201" s="192"/>
      <c r="AD201" s="192"/>
    </row>
    <row r="202" spans="1:30" ht="20.100000000000001" customHeight="1" thickBot="1">
      <c r="A202" s="214"/>
      <c r="B202" s="215" t="s">
        <v>470</v>
      </c>
      <c r="C202" s="215"/>
      <c r="D202" s="215"/>
      <c r="E202" s="215"/>
      <c r="F202" s="216"/>
      <c r="G202" s="217"/>
      <c r="H202" s="230"/>
      <c r="I202" s="235"/>
      <c r="J202" s="5"/>
      <c r="K202" s="5"/>
      <c r="L202" s="5"/>
      <c r="M202" s="5"/>
      <c r="N202" s="5"/>
      <c r="O202" s="5"/>
      <c r="P202" s="5"/>
      <c r="Q202" s="5"/>
      <c r="R202" s="2" t="s">
        <v>1932</v>
      </c>
      <c r="S202" s="238" t="s">
        <v>471</v>
      </c>
      <c r="T202" s="216"/>
      <c r="U202" s="229"/>
      <c r="V202" s="48">
        <f t="shared" si="13"/>
        <v>202</v>
      </c>
      <c r="W202" s="199" t="str">
        <f>IF(R202="","未入力あり","✔")</f>
        <v>✔</v>
      </c>
      <c r="Y202" s="164"/>
      <c r="Z202" s="192"/>
      <c r="AA202" s="192"/>
      <c r="AB202" s="192"/>
      <c r="AC202" s="192"/>
      <c r="AD202" s="192"/>
    </row>
    <row r="203" spans="1:30" ht="20.100000000000001" customHeight="1" thickBot="1">
      <c r="A203" s="214"/>
      <c r="B203" s="215" t="s">
        <v>472</v>
      </c>
      <c r="C203" s="215"/>
      <c r="D203" s="215"/>
      <c r="E203" s="215"/>
      <c r="F203" s="216"/>
      <c r="G203" s="217"/>
      <c r="H203" s="274"/>
      <c r="I203" s="235"/>
      <c r="J203" s="5"/>
      <c r="K203" s="5"/>
      <c r="L203" s="5"/>
      <c r="M203" s="5"/>
      <c r="N203" s="5"/>
      <c r="O203" s="5"/>
      <c r="P203" s="5"/>
      <c r="Q203" s="5"/>
      <c r="R203" s="235"/>
      <c r="S203" s="5"/>
      <c r="T203" s="216"/>
      <c r="U203" s="229"/>
      <c r="V203" s="48">
        <f t="shared" si="13"/>
        <v>203</v>
      </c>
      <c r="Y203" s="164"/>
      <c r="Z203" s="192"/>
      <c r="AA203" s="192"/>
      <c r="AB203" s="192"/>
      <c r="AC203" s="192"/>
      <c r="AD203" s="192"/>
    </row>
    <row r="204" spans="1:30" ht="20.100000000000001" customHeight="1" thickBot="1">
      <c r="A204" s="214"/>
      <c r="B204" s="215"/>
      <c r="C204" s="215" t="s">
        <v>473</v>
      </c>
      <c r="D204" s="215"/>
      <c r="E204" s="215"/>
      <c r="F204" s="216"/>
      <c r="G204" s="217"/>
      <c r="H204" s="2" t="s">
        <v>1933</v>
      </c>
      <c r="I204" s="238" t="s">
        <v>474</v>
      </c>
      <c r="J204" s="275"/>
      <c r="K204" s="275"/>
      <c r="L204" s="275"/>
      <c r="M204" s="275" t="s">
        <v>475</v>
      </c>
      <c r="N204" s="335">
        <v>12</v>
      </c>
      <c r="O204" s="192" t="str">
        <f>+"回開催（期間："&amp;'事務局使用（発出時は非表示にすること）'!B4&amp;"）"</f>
        <v>回開催（期間：令和５年１月１日～12月31日）</v>
      </c>
      <c r="P204" s="192"/>
      <c r="Q204" s="192"/>
      <c r="R204" s="235"/>
      <c r="S204" s="5"/>
      <c r="T204" s="216"/>
      <c r="U204" s="229"/>
      <c r="V204" s="48">
        <f t="shared" si="13"/>
        <v>204</v>
      </c>
      <c r="W204" s="199" t="str">
        <f>IF(OR(H204="",N204=""),"未入力あり","✔")</f>
        <v>✔</v>
      </c>
      <c r="Y204" s="164"/>
      <c r="Z204" s="242">
        <v>0</v>
      </c>
      <c r="AA204" s="242">
        <v>40</v>
      </c>
      <c r="AB204" s="192"/>
      <c r="AC204" s="192"/>
      <c r="AD204" s="192"/>
    </row>
    <row r="205" spans="1:30" ht="20.100000000000001" customHeight="1" thickBot="1">
      <c r="A205" s="214"/>
      <c r="B205" s="215"/>
      <c r="C205" s="215" t="s">
        <v>476</v>
      </c>
      <c r="D205" s="215"/>
      <c r="E205" s="215"/>
      <c r="F205" s="216"/>
      <c r="G205" s="217"/>
      <c r="H205" s="2" t="s">
        <v>1933</v>
      </c>
      <c r="I205" s="238" t="s">
        <v>474</v>
      </c>
      <c r="J205" s="275"/>
      <c r="K205" s="275"/>
      <c r="L205" s="275"/>
      <c r="M205" s="275" t="s">
        <v>475</v>
      </c>
      <c r="N205" s="335">
        <v>11</v>
      </c>
      <c r="O205" s="192" t="str">
        <f>+"回開催（期間："&amp;'事務局使用（発出時は非表示にすること）'!B4&amp;"）"</f>
        <v>回開催（期間：令和５年１月１日～12月31日）</v>
      </c>
      <c r="P205" s="192"/>
      <c r="Q205" s="192"/>
      <c r="R205" s="235"/>
      <c r="S205" s="5"/>
      <c r="T205" s="216"/>
      <c r="U205" s="229"/>
      <c r="V205" s="48">
        <f t="shared" si="13"/>
        <v>205</v>
      </c>
      <c r="W205" s="199" t="str">
        <f>IF(OR(H205="",N205=""),"未入力あり","✔")</f>
        <v>✔</v>
      </c>
      <c r="Y205" s="164"/>
      <c r="Z205" s="242">
        <v>0</v>
      </c>
      <c r="AA205" s="242">
        <v>30</v>
      </c>
      <c r="AB205" s="192"/>
      <c r="AC205" s="192"/>
      <c r="AD205" s="192"/>
    </row>
    <row r="206" spans="1:30" ht="20.100000000000001" customHeight="1" thickBot="1">
      <c r="A206" s="214"/>
      <c r="B206" s="215"/>
      <c r="C206" s="215" t="s">
        <v>477</v>
      </c>
      <c r="D206" s="215"/>
      <c r="E206" s="215"/>
      <c r="F206" s="216"/>
      <c r="G206" s="217"/>
      <c r="H206" s="2" t="s">
        <v>1933</v>
      </c>
      <c r="I206" s="238" t="s">
        <v>474</v>
      </c>
      <c r="J206" s="275"/>
      <c r="K206" s="275"/>
      <c r="L206" s="275"/>
      <c r="M206" s="275" t="s">
        <v>475</v>
      </c>
      <c r="N206" s="335">
        <v>12</v>
      </c>
      <c r="O206" s="192" t="str">
        <f>+"回開催（期間："&amp;'事務局使用（発出時は非表示にすること）'!B4&amp;"）"</f>
        <v>回開催（期間：令和５年１月１日～12月31日）</v>
      </c>
      <c r="P206" s="192"/>
      <c r="Q206" s="192"/>
      <c r="R206" s="235"/>
      <c r="S206" s="5"/>
      <c r="T206" s="216"/>
      <c r="U206" s="229"/>
      <c r="V206" s="48">
        <f t="shared" ref="V206:V289" si="22">+ROW()</f>
        <v>206</v>
      </c>
      <c r="W206" s="199" t="str">
        <f>IF(OR(H206="",N206=""),"未入力あり","✔")</f>
        <v>✔</v>
      </c>
      <c r="Y206" s="164"/>
      <c r="Z206" s="242">
        <v>0</v>
      </c>
      <c r="AA206" s="242">
        <v>30</v>
      </c>
      <c r="AB206" s="192"/>
      <c r="AC206" s="192"/>
      <c r="AD206" s="192"/>
    </row>
    <row r="207" spans="1:30" ht="20.100000000000001" customHeight="1" thickBot="1">
      <c r="A207" s="214"/>
      <c r="B207" s="215"/>
      <c r="C207" s="215" t="s">
        <v>478</v>
      </c>
      <c r="D207" s="215"/>
      <c r="E207" s="215"/>
      <c r="F207" s="216"/>
      <c r="G207" s="217"/>
      <c r="H207" s="2" t="s">
        <v>1933</v>
      </c>
      <c r="I207" s="238" t="s">
        <v>474</v>
      </c>
      <c r="J207" s="275"/>
      <c r="K207" s="275"/>
      <c r="L207" s="275"/>
      <c r="M207" s="275" t="s">
        <v>475</v>
      </c>
      <c r="N207" s="335">
        <v>12</v>
      </c>
      <c r="O207" s="192" t="str">
        <f>+"回開催（期間："&amp;'事務局使用（発出時は非表示にすること）'!B4&amp;"）"</f>
        <v>回開催（期間：令和５年１月１日～12月31日）</v>
      </c>
      <c r="P207" s="192"/>
      <c r="Q207" s="192"/>
      <c r="R207" s="235"/>
      <c r="S207" s="5"/>
      <c r="T207" s="216"/>
      <c r="U207" s="229"/>
      <c r="V207" s="48">
        <f t="shared" si="22"/>
        <v>207</v>
      </c>
      <c r="W207" s="199" t="str">
        <f>IF(OR(H207="",N207=""),"未入力あり","✔")</f>
        <v>✔</v>
      </c>
      <c r="Y207" s="164"/>
      <c r="Z207" s="242">
        <v>0</v>
      </c>
      <c r="AA207" s="242">
        <v>30</v>
      </c>
      <c r="AB207" s="192"/>
      <c r="AC207" s="192"/>
      <c r="AD207" s="192"/>
    </row>
    <row r="208" spans="1:30" ht="20.100000000000001" customHeight="1">
      <c r="A208" s="214"/>
      <c r="B208" s="215"/>
      <c r="C208" s="215"/>
      <c r="D208" s="215"/>
      <c r="E208" s="215"/>
      <c r="F208" s="216"/>
      <c r="G208" s="217"/>
      <c r="H208" s="230"/>
      <c r="I208" s="235"/>
      <c r="J208" s="5"/>
      <c r="K208" s="5"/>
      <c r="L208" s="5"/>
      <c r="M208" s="5"/>
      <c r="N208" s="5"/>
      <c r="O208" s="5"/>
      <c r="P208" s="5"/>
      <c r="Q208" s="5"/>
      <c r="R208" s="235"/>
      <c r="S208" s="238"/>
      <c r="T208" s="10"/>
      <c r="U208" s="229"/>
      <c r="V208" s="48">
        <f t="shared" si="22"/>
        <v>208</v>
      </c>
      <c r="Y208" s="164"/>
      <c r="Z208" s="192"/>
      <c r="AA208" s="192"/>
      <c r="AB208" s="192"/>
      <c r="AC208" s="192"/>
      <c r="AD208" s="192"/>
    </row>
    <row r="209" spans="1:30" ht="20.100000000000001" customHeight="1">
      <c r="A209" s="214" t="s">
        <v>479</v>
      </c>
      <c r="B209" s="215"/>
      <c r="C209" s="215"/>
      <c r="D209" s="215"/>
      <c r="E209" s="215"/>
      <c r="F209" s="216"/>
      <c r="G209" s="217"/>
      <c r="H209" s="230"/>
      <c r="I209" s="235"/>
      <c r="J209" s="5"/>
      <c r="K209" s="5"/>
      <c r="L209" s="5"/>
      <c r="M209" s="5"/>
      <c r="N209" s="5"/>
      <c r="O209" s="5"/>
      <c r="P209" s="5"/>
      <c r="Q209" s="5"/>
      <c r="R209" s="235"/>
      <c r="S209" s="5"/>
      <c r="T209" s="216"/>
      <c r="U209" s="229"/>
      <c r="V209" s="48">
        <f t="shared" si="22"/>
        <v>209</v>
      </c>
      <c r="Y209" s="164"/>
      <c r="Z209" s="1198"/>
      <c r="AA209" s="192"/>
      <c r="AB209" s="192"/>
      <c r="AC209" s="192"/>
      <c r="AD209" s="192"/>
    </row>
    <row r="210" spans="1:30" ht="20.100000000000001" customHeight="1" thickBot="1">
      <c r="A210" s="214"/>
      <c r="B210" s="215" t="s">
        <v>480</v>
      </c>
      <c r="C210" s="215" t="s">
        <v>481</v>
      </c>
      <c r="D210" s="216"/>
      <c r="E210" s="215"/>
      <c r="F210" s="237" t="str">
        <f>+"（期間："&amp;'事務局使用（発出時は非表示にすること）'!B4&amp;"）"</f>
        <v>（期間：令和５年１月１日～12月31日）</v>
      </c>
      <c r="G210" s="276"/>
      <c r="H210" s="230"/>
      <c r="I210" s="235"/>
      <c r="J210" s="5"/>
      <c r="K210" s="5"/>
      <c r="L210" s="5"/>
      <c r="M210" s="5"/>
      <c r="N210" s="5"/>
      <c r="O210" s="5"/>
      <c r="P210" s="5"/>
      <c r="Q210" s="5"/>
      <c r="R210" s="235"/>
      <c r="S210" s="5"/>
      <c r="T210" s="216"/>
      <c r="U210" s="229"/>
      <c r="V210" s="48">
        <f t="shared" si="22"/>
        <v>210</v>
      </c>
      <c r="Y210" s="164"/>
      <c r="Z210" s="1198"/>
      <c r="AA210" s="192"/>
      <c r="AB210" s="192"/>
      <c r="AC210" s="192"/>
      <c r="AD210" s="192"/>
    </row>
    <row r="211" spans="1:30" ht="20.100000000000001" customHeight="1" thickBot="1">
      <c r="A211" s="214"/>
      <c r="B211" s="216"/>
      <c r="C211" s="215"/>
      <c r="D211" s="215" t="s">
        <v>482</v>
      </c>
      <c r="E211" s="216"/>
      <c r="F211" s="216"/>
      <c r="G211" s="217"/>
      <c r="H211" s="230"/>
      <c r="I211" s="235"/>
      <c r="J211" s="5"/>
      <c r="K211" s="5"/>
      <c r="L211" s="5"/>
      <c r="M211" s="5"/>
      <c r="N211" s="5"/>
      <c r="O211" s="5"/>
      <c r="P211" s="5"/>
      <c r="Q211" s="5"/>
      <c r="R211" s="335">
        <v>14359</v>
      </c>
      <c r="S211" s="216" t="s">
        <v>422</v>
      </c>
      <c r="T211" s="215"/>
      <c r="U211" s="232"/>
      <c r="V211" s="48">
        <f t="shared" si="22"/>
        <v>211</v>
      </c>
      <c r="W211" s="199" t="str">
        <f>IF(R211="","未入力あり","✔")</f>
        <v>✔</v>
      </c>
      <c r="Y211" s="164"/>
      <c r="Z211" s="277">
        <v>0</v>
      </c>
      <c r="AA211" s="236">
        <v>170000</v>
      </c>
      <c r="AB211" s="192"/>
      <c r="AC211" s="192"/>
      <c r="AD211" s="192"/>
    </row>
    <row r="212" spans="1:30" ht="19.5" thickBot="1">
      <c r="A212" s="214"/>
      <c r="B212" s="216"/>
      <c r="C212" s="215"/>
      <c r="D212" s="215"/>
      <c r="E212" s="215" t="s">
        <v>483</v>
      </c>
      <c r="F212" s="215"/>
      <c r="G212" s="217"/>
      <c r="H212" s="230"/>
      <c r="I212" s="235"/>
      <c r="J212" s="5"/>
      <c r="K212" s="5"/>
      <c r="L212" s="5"/>
      <c r="M212" s="5"/>
      <c r="N212" s="5"/>
      <c r="O212" s="5"/>
      <c r="P212" s="5"/>
      <c r="Q212" s="5"/>
      <c r="R212" s="335">
        <v>3862</v>
      </c>
      <c r="S212" s="216" t="s">
        <v>422</v>
      </c>
      <c r="T212" s="215"/>
      <c r="U212" s="232"/>
      <c r="V212" s="48">
        <f t="shared" si="22"/>
        <v>212</v>
      </c>
      <c r="W212" s="199" t="str">
        <f>IF(R212="","未入力あり","✔")</f>
        <v>✔</v>
      </c>
      <c r="Y212" s="164"/>
      <c r="Z212" s="277">
        <v>0</v>
      </c>
      <c r="AA212" s="236">
        <v>55000</v>
      </c>
      <c r="AB212" s="192"/>
      <c r="AC212" s="192"/>
      <c r="AD212" s="192"/>
    </row>
    <row r="213" spans="1:30" ht="20.100000000000001" customHeight="1" thickBot="1">
      <c r="A213" s="214"/>
      <c r="B213" s="216"/>
      <c r="C213" s="215"/>
      <c r="D213" s="215"/>
      <c r="E213" s="215" t="s">
        <v>484</v>
      </c>
      <c r="F213" s="215"/>
      <c r="G213" s="217"/>
      <c r="H213" s="230"/>
      <c r="I213" s="235"/>
      <c r="J213" s="5"/>
      <c r="K213" s="5"/>
      <c r="L213" s="5"/>
      <c r="M213" s="5"/>
      <c r="N213" s="5"/>
      <c r="O213" s="5"/>
      <c r="P213" s="5"/>
      <c r="Q213" s="5"/>
      <c r="R213" s="278">
        <f>IF(ISERROR(R212/R211*100),"",R212/R211*100)</f>
        <v>26.896023399958214</v>
      </c>
      <c r="S213" s="216" t="s">
        <v>485</v>
      </c>
      <c r="T213" s="215"/>
      <c r="U213" s="232"/>
      <c r="V213" s="48">
        <f t="shared" si="22"/>
        <v>213</v>
      </c>
      <c r="W213" s="3"/>
      <c r="Y213" s="164"/>
      <c r="Z213" s="279"/>
      <c r="AA213" s="192"/>
      <c r="AB213" s="192"/>
      <c r="AC213" s="192"/>
      <c r="AD213" s="192"/>
    </row>
    <row r="214" spans="1:30" ht="20.100000000000001" customHeight="1" thickBot="1">
      <c r="A214" s="280"/>
      <c r="B214" s="281"/>
      <c r="C214" s="282"/>
      <c r="D214" s="282" t="s">
        <v>486</v>
      </c>
      <c r="E214" s="281"/>
      <c r="F214" s="281"/>
      <c r="G214" s="283"/>
      <c r="H214" s="274"/>
      <c r="I214" s="243"/>
      <c r="J214" s="284"/>
      <c r="K214" s="284"/>
      <c r="L214" s="284"/>
      <c r="M214" s="284"/>
      <c r="N214" s="284"/>
      <c r="O214" s="284"/>
      <c r="P214" s="284"/>
      <c r="Q214" s="284"/>
      <c r="R214" s="335">
        <v>74667</v>
      </c>
      <c r="S214" s="216" t="s">
        <v>422</v>
      </c>
      <c r="T214" s="215"/>
      <c r="U214" s="232"/>
      <c r="V214" s="48">
        <f t="shared" si="22"/>
        <v>214</v>
      </c>
      <c r="W214" s="199" t="str">
        <f>IF(R214="","未入力あり","✔")</f>
        <v>✔</v>
      </c>
      <c r="Y214" s="164"/>
      <c r="Z214" s="277">
        <v>0</v>
      </c>
      <c r="AA214" s="236">
        <v>270000</v>
      </c>
      <c r="AB214" s="192"/>
      <c r="AC214" s="192"/>
      <c r="AD214" s="192"/>
    </row>
    <row r="215" spans="1:30" ht="20.100000000000001" customHeight="1" thickBot="1">
      <c r="A215" s="214"/>
      <c r="B215" s="216"/>
      <c r="C215" s="215"/>
      <c r="D215" s="215" t="s">
        <v>487</v>
      </c>
      <c r="E215" s="216"/>
      <c r="F215" s="216"/>
      <c r="G215" s="217"/>
      <c r="H215" s="230"/>
      <c r="I215" s="235"/>
      <c r="J215" s="5"/>
      <c r="K215" s="5"/>
      <c r="L215" s="5"/>
      <c r="M215" s="5"/>
      <c r="N215" s="5"/>
      <c r="O215" s="5"/>
      <c r="P215" s="5"/>
      <c r="Q215" s="285"/>
      <c r="R215" s="335">
        <v>132</v>
      </c>
      <c r="S215" s="216" t="s">
        <v>422</v>
      </c>
      <c r="T215" s="215"/>
      <c r="U215" s="232"/>
      <c r="V215" s="48">
        <f t="shared" si="22"/>
        <v>215</v>
      </c>
      <c r="W215" s="199" t="str">
        <f>IF(R215="","未入力あり","✔")</f>
        <v>✔</v>
      </c>
      <c r="Y215" s="164"/>
      <c r="Z215" s="277">
        <v>0</v>
      </c>
      <c r="AA215" s="236">
        <v>640</v>
      </c>
      <c r="AB215" s="192"/>
      <c r="AC215" s="192"/>
      <c r="AD215" s="192"/>
    </row>
    <row r="216" spans="1:30" ht="99.75" customHeight="1">
      <c r="A216" s="1002"/>
      <c r="B216" s="3"/>
      <c r="C216" s="8"/>
      <c r="D216" s="1181" t="s">
        <v>488</v>
      </c>
      <c r="E216" s="1181"/>
      <c r="F216" s="1181"/>
      <c r="G216" s="1181"/>
      <c r="H216" s="1181"/>
      <c r="I216" s="1181"/>
      <c r="J216" s="1181"/>
      <c r="K216" s="1181"/>
      <c r="L216" s="1181"/>
      <c r="M216" s="1181"/>
      <c r="N216" s="1181"/>
      <c r="O216" s="1181"/>
      <c r="P216" s="1181"/>
      <c r="Q216" s="1181"/>
      <c r="R216" s="1181"/>
      <c r="S216" s="5"/>
      <c r="T216" s="216"/>
      <c r="U216" s="229"/>
      <c r="V216" s="48">
        <f t="shared" si="22"/>
        <v>216</v>
      </c>
      <c r="Y216" s="164"/>
      <c r="AA216" s="192"/>
      <c r="AB216" s="192"/>
      <c r="AC216" s="192"/>
      <c r="AD216" s="192"/>
    </row>
    <row r="217" spans="1:30" ht="20.100000000000001" customHeight="1">
      <c r="A217" s="214"/>
      <c r="B217" s="215"/>
      <c r="C217" s="215"/>
      <c r="D217" s="215"/>
      <c r="E217" s="217"/>
      <c r="F217" s="215"/>
      <c r="G217" s="215"/>
      <c r="H217" s="230"/>
      <c r="I217" s="235"/>
      <c r="J217" s="5"/>
      <c r="K217" s="5"/>
      <c r="L217" s="5"/>
      <c r="M217" s="5"/>
      <c r="N217" s="5"/>
      <c r="O217" s="5"/>
      <c r="P217" s="5"/>
      <c r="Q217" s="5"/>
      <c r="R217" s="286"/>
      <c r="S217" s="216"/>
      <c r="T217" s="215"/>
      <c r="U217" s="287"/>
      <c r="V217" s="48">
        <f t="shared" si="22"/>
        <v>217</v>
      </c>
      <c r="Y217" s="164"/>
      <c r="Z217" s="288"/>
      <c r="AA217" s="192"/>
      <c r="AB217" s="192"/>
      <c r="AC217" s="192"/>
      <c r="AD217" s="192"/>
    </row>
    <row r="218" spans="1:30" ht="19.5" customHeight="1">
      <c r="A218" s="214"/>
      <c r="B218" s="215"/>
      <c r="C218" s="215"/>
      <c r="D218" s="215"/>
      <c r="E218" s="215"/>
      <c r="F218" s="216"/>
      <c r="G218" s="215"/>
      <c r="H218" s="230"/>
      <c r="I218" s="235"/>
      <c r="J218" s="5"/>
      <c r="K218" s="5"/>
      <c r="L218" s="5"/>
      <c r="M218" s="5"/>
      <c r="N218" s="5"/>
      <c r="O218" s="5"/>
      <c r="P218" s="5"/>
      <c r="Q218" s="5"/>
      <c r="R218" s="265"/>
      <c r="S218" s="216"/>
      <c r="T218" s="216"/>
      <c r="U218" s="289"/>
      <c r="V218" s="48">
        <f t="shared" si="22"/>
        <v>218</v>
      </c>
      <c r="Y218" s="164"/>
      <c r="Z218" s="288"/>
      <c r="AA218" s="192"/>
      <c r="AB218" s="192"/>
      <c r="AC218" s="192"/>
      <c r="AD218" s="192"/>
    </row>
    <row r="219" spans="1:30" ht="20.100000000000001" customHeight="1">
      <c r="A219" s="214"/>
      <c r="B219" s="215" t="s">
        <v>489</v>
      </c>
      <c r="C219" s="215" t="s">
        <v>490</v>
      </c>
      <c r="D219" s="216"/>
      <c r="E219" s="215"/>
      <c r="F219" s="215"/>
      <c r="G219" s="217"/>
      <c r="H219" s="230"/>
      <c r="I219" s="235"/>
      <c r="J219" s="5"/>
      <c r="K219" s="5"/>
      <c r="L219" s="5"/>
      <c r="M219" s="5"/>
      <c r="N219" s="5"/>
      <c r="O219" s="5"/>
      <c r="P219" s="5"/>
      <c r="Q219" s="5"/>
      <c r="R219" s="290"/>
      <c r="S219" s="216"/>
      <c r="T219" s="216"/>
      <c r="U219" s="229"/>
      <c r="V219" s="48">
        <f t="shared" si="22"/>
        <v>219</v>
      </c>
      <c r="Y219" s="164"/>
      <c r="Z219" s="288"/>
      <c r="AA219" s="192"/>
      <c r="AB219" s="192"/>
      <c r="AC219" s="192"/>
      <c r="AD219" s="192"/>
    </row>
    <row r="220" spans="1:30" ht="20.100000000000001" customHeight="1" thickBot="1">
      <c r="A220" s="214"/>
      <c r="B220" s="216"/>
      <c r="C220" s="215" t="s">
        <v>491</v>
      </c>
      <c r="D220" s="215" t="s">
        <v>492</v>
      </c>
      <c r="E220" s="216"/>
      <c r="F220" s="216"/>
      <c r="G220" s="237" t="str">
        <f>+"（期間："&amp;'事務局使用（発出時は非表示にすること）'!B4&amp;"）"</f>
        <v>（期間：令和５年１月１日～12月31日）</v>
      </c>
      <c r="H220" s="192"/>
      <c r="I220" s="291"/>
      <c r="J220" s="5"/>
      <c r="K220" s="5"/>
      <c r="L220" s="5"/>
      <c r="M220" s="5"/>
      <c r="N220" s="5"/>
      <c r="O220" s="5"/>
      <c r="P220" s="5"/>
      <c r="Q220" s="5"/>
      <c r="R220" s="290"/>
      <c r="S220" s="216"/>
      <c r="T220" s="216"/>
      <c r="U220" s="229"/>
      <c r="V220" s="48">
        <f t="shared" si="22"/>
        <v>220</v>
      </c>
      <c r="Y220" s="164"/>
      <c r="Z220" s="288"/>
      <c r="AA220" s="192"/>
      <c r="AB220" s="192"/>
      <c r="AC220" s="192"/>
      <c r="AD220" s="192"/>
    </row>
    <row r="221" spans="1:30" ht="20.100000000000001" customHeight="1" thickBot="1">
      <c r="A221" s="214"/>
      <c r="B221" s="215"/>
      <c r="C221" s="215"/>
      <c r="D221" s="215"/>
      <c r="E221" s="215" t="s">
        <v>493</v>
      </c>
      <c r="F221" s="216"/>
      <c r="G221" s="217"/>
      <c r="H221" s="230"/>
      <c r="I221" s="235"/>
      <c r="J221" s="5"/>
      <c r="K221" s="5"/>
      <c r="L221" s="5"/>
      <c r="M221" s="5"/>
      <c r="N221" s="5"/>
      <c r="O221" s="5"/>
      <c r="P221" s="5"/>
      <c r="Q221" s="5"/>
      <c r="R221" s="335">
        <v>9546</v>
      </c>
      <c r="S221" s="216" t="s">
        <v>494</v>
      </c>
      <c r="T221" s="216"/>
      <c r="U221" s="229"/>
      <c r="V221" s="48">
        <f t="shared" si="22"/>
        <v>221</v>
      </c>
      <c r="W221" s="199" t="str">
        <f>IF(R221="","未入力あり","✔")</f>
        <v>✔</v>
      </c>
      <c r="Y221" s="164"/>
      <c r="Z221" s="292">
        <v>0</v>
      </c>
      <c r="AA221" s="236">
        <v>21000</v>
      </c>
      <c r="AB221" s="192"/>
      <c r="AC221" s="192"/>
      <c r="AD221" s="192"/>
    </row>
    <row r="222" spans="1:30" ht="20.100000000000001" customHeight="1" thickBot="1">
      <c r="A222" s="214"/>
      <c r="B222" s="215"/>
      <c r="C222" s="215"/>
      <c r="D222" s="215"/>
      <c r="E222" s="215" t="s">
        <v>495</v>
      </c>
      <c r="F222" s="216"/>
      <c r="G222" s="217"/>
      <c r="H222" s="230"/>
      <c r="I222" s="235"/>
      <c r="J222" s="5"/>
      <c r="K222" s="5"/>
      <c r="L222" s="5"/>
      <c r="M222" s="5"/>
      <c r="N222" s="5"/>
      <c r="O222" s="5"/>
      <c r="P222" s="5"/>
      <c r="Q222" s="5"/>
      <c r="R222" s="335">
        <v>6234</v>
      </c>
      <c r="S222" s="216" t="s">
        <v>494</v>
      </c>
      <c r="T222" s="216"/>
      <c r="U222" s="229"/>
      <c r="V222" s="48">
        <f t="shared" si="22"/>
        <v>222</v>
      </c>
      <c r="W222" s="199" t="str">
        <f>IF(R222="","未入力あり","✔")</f>
        <v>✔</v>
      </c>
      <c r="Y222" s="164"/>
      <c r="Z222" s="292">
        <v>0</v>
      </c>
      <c r="AA222" s="236">
        <v>16000</v>
      </c>
      <c r="AB222" s="192"/>
      <c r="AC222" s="192"/>
      <c r="AD222" s="192"/>
    </row>
    <row r="223" spans="1:30" ht="20.100000000000001" customHeight="1" thickBot="1">
      <c r="A223" s="214"/>
      <c r="B223" s="215"/>
      <c r="C223" s="215"/>
      <c r="D223" s="215"/>
      <c r="E223" s="215" t="s">
        <v>496</v>
      </c>
      <c r="F223" s="216"/>
      <c r="G223" s="217"/>
      <c r="H223" s="230"/>
      <c r="I223" s="235"/>
      <c r="J223" s="5"/>
      <c r="K223" s="5"/>
      <c r="L223" s="5"/>
      <c r="M223" s="5"/>
      <c r="N223" s="5"/>
      <c r="O223" s="5"/>
      <c r="P223" s="5"/>
      <c r="Q223" s="5"/>
      <c r="R223" s="335">
        <v>276</v>
      </c>
      <c r="S223" s="216" t="s">
        <v>494</v>
      </c>
      <c r="T223" s="216"/>
      <c r="U223" s="229"/>
      <c r="V223" s="48">
        <f t="shared" si="22"/>
        <v>223</v>
      </c>
      <c r="W223" s="199" t="str">
        <f>IF(R223="","未入力あり","✔")</f>
        <v>✔</v>
      </c>
      <c r="Y223" s="164"/>
      <c r="Z223" s="292">
        <v>0</v>
      </c>
      <c r="AA223" s="236">
        <v>2300</v>
      </c>
      <c r="AB223" s="192"/>
      <c r="AC223" s="192"/>
      <c r="AD223" s="192"/>
    </row>
    <row r="224" spans="1:30" ht="20.100000000000001" customHeight="1">
      <c r="A224" s="293"/>
      <c r="B224" s="294"/>
      <c r="C224" s="294"/>
      <c r="D224" s="294"/>
      <c r="E224" s="294"/>
      <c r="F224" s="295"/>
      <c r="G224" s="296"/>
      <c r="H224" s="297"/>
      <c r="I224" s="298"/>
      <c r="J224" s="299"/>
      <c r="K224" s="299"/>
      <c r="L224" s="299"/>
      <c r="M224" s="299"/>
      <c r="N224" s="299"/>
      <c r="O224" s="299"/>
      <c r="P224" s="299"/>
      <c r="Q224" s="299"/>
      <c r="R224" s="298"/>
      <c r="S224" s="299"/>
      <c r="T224" s="295"/>
      <c r="U224" s="300"/>
      <c r="V224" s="48">
        <f t="shared" si="22"/>
        <v>224</v>
      </c>
      <c r="Y224" s="164"/>
      <c r="AA224" s="192"/>
      <c r="AB224" s="192"/>
      <c r="AC224" s="192"/>
      <c r="AD224" s="192"/>
    </row>
    <row r="225" spans="1:30" ht="19.5" customHeight="1" thickBot="1">
      <c r="A225" s="214" t="s">
        <v>497</v>
      </c>
      <c r="B225" s="294"/>
      <c r="C225" s="294"/>
      <c r="D225" s="294"/>
      <c r="E225" s="294"/>
      <c r="F225" s="295"/>
      <c r="G225" s="296"/>
      <c r="H225" s="297"/>
      <c r="I225" s="298"/>
      <c r="J225" s="299"/>
      <c r="K225" s="299"/>
      <c r="L225" s="299"/>
      <c r="M225" s="299"/>
      <c r="N225" s="299"/>
      <c r="O225" s="299"/>
      <c r="P225" s="299"/>
      <c r="Q225" s="299"/>
      <c r="R225" s="298"/>
      <c r="S225" s="299"/>
      <c r="T225" s="295"/>
      <c r="U225" s="300"/>
      <c r="V225" s="48">
        <f t="shared" si="22"/>
        <v>225</v>
      </c>
      <c r="Y225" s="164"/>
      <c r="AA225" s="192"/>
      <c r="AB225" s="192"/>
      <c r="AC225" s="192"/>
      <c r="AD225" s="192"/>
    </row>
    <row r="226" spans="1:30" ht="20.100000000000001" customHeight="1" thickBot="1">
      <c r="A226" s="214" t="s">
        <v>498</v>
      </c>
      <c r="B226" s="294"/>
      <c r="C226" s="294"/>
      <c r="D226" s="294"/>
      <c r="E226" s="294"/>
      <c r="F226" s="295"/>
      <c r="G226" s="296"/>
      <c r="H226" s="297"/>
      <c r="I226" s="298"/>
      <c r="J226" s="299"/>
      <c r="K226" s="299"/>
      <c r="L226" s="299"/>
      <c r="M226" s="299"/>
      <c r="N226" s="299"/>
      <c r="O226" s="299"/>
      <c r="P226" s="299"/>
      <c r="Q226" s="299"/>
      <c r="R226" s="996" t="s">
        <v>1934</v>
      </c>
      <c r="S226" s="9" t="s">
        <v>499</v>
      </c>
      <c r="U226" s="300"/>
      <c r="V226" s="48">
        <f t="shared" si="22"/>
        <v>226</v>
      </c>
      <c r="W226" s="199" t="str">
        <f>IF(R226="","未入力あり","✔")</f>
        <v>✔</v>
      </c>
      <c r="Y226" s="164"/>
      <c r="AA226" s="192"/>
      <c r="AB226" s="192"/>
      <c r="AC226" s="192"/>
      <c r="AD226" s="192"/>
    </row>
    <row r="227" spans="1:30" ht="67.5" customHeight="1" thickBot="1">
      <c r="A227" s="1003"/>
      <c r="C227" s="1222" t="s">
        <v>500</v>
      </c>
      <c r="D227" s="1222"/>
      <c r="E227" s="1222"/>
      <c r="F227" s="1222"/>
      <c r="G227" s="1222"/>
      <c r="H227" s="1222"/>
      <c r="I227" s="1222"/>
      <c r="J227" s="1222"/>
      <c r="K227" s="1222"/>
      <c r="L227" s="1222"/>
      <c r="M227" s="1222"/>
      <c r="N227" s="1222"/>
      <c r="O227" s="1222"/>
      <c r="P227" s="1222"/>
      <c r="R227" s="1191" t="s">
        <v>1935</v>
      </c>
      <c r="S227" s="1192"/>
      <c r="T227" s="1193"/>
      <c r="U227" s="301"/>
      <c r="V227" s="48">
        <f t="shared" si="22"/>
        <v>227</v>
      </c>
      <c r="W227" s="199" t="str">
        <f>IF(R227="","未入力あり","✔")</f>
        <v>✔</v>
      </c>
      <c r="Y227" s="164"/>
      <c r="AA227" s="192"/>
      <c r="AB227" s="192"/>
      <c r="AC227" s="192"/>
      <c r="AD227" s="192"/>
    </row>
    <row r="228" spans="1:30" ht="20.100000000000001" customHeight="1" thickBot="1">
      <c r="A228" s="214" t="s">
        <v>501</v>
      </c>
      <c r="B228" s="294"/>
      <c r="C228" s="294"/>
      <c r="D228" s="294"/>
      <c r="E228" s="294"/>
      <c r="F228" s="295"/>
      <c r="G228" s="296"/>
      <c r="H228" s="297"/>
      <c r="I228" s="298"/>
      <c r="J228" s="299"/>
      <c r="K228" s="299"/>
      <c r="L228" s="299"/>
      <c r="M228" s="299"/>
      <c r="N228" s="299"/>
      <c r="O228" s="299"/>
      <c r="P228" s="299"/>
      <c r="Q228" s="299"/>
      <c r="R228" s="996" t="s">
        <v>1934</v>
      </c>
      <c r="S228" s="9" t="s">
        <v>499</v>
      </c>
      <c r="U228" s="300"/>
      <c r="V228" s="48">
        <f t="shared" si="22"/>
        <v>228</v>
      </c>
      <c r="W228" s="199" t="str">
        <f>IF(R228="","未入力あり","✔")</f>
        <v>✔</v>
      </c>
      <c r="Y228" s="164"/>
      <c r="AA228" s="192"/>
      <c r="AB228" s="192"/>
      <c r="AC228" s="192"/>
      <c r="AD228" s="192"/>
    </row>
    <row r="229" spans="1:30" ht="66" customHeight="1" thickBot="1">
      <c r="A229" s="1003" t="s">
        <v>502</v>
      </c>
      <c r="C229" s="1222" t="s">
        <v>500</v>
      </c>
      <c r="D229" s="1222"/>
      <c r="E229" s="1222"/>
      <c r="F229" s="1222"/>
      <c r="G229" s="1222"/>
      <c r="H229" s="1222"/>
      <c r="I229" s="1222"/>
      <c r="J229" s="1222"/>
      <c r="K229" s="1222"/>
      <c r="L229" s="1222"/>
      <c r="M229" s="1222"/>
      <c r="N229" s="1222"/>
      <c r="O229" s="1222"/>
      <c r="P229" s="1222"/>
      <c r="R229" s="1191" t="s">
        <v>1935</v>
      </c>
      <c r="S229" s="1192"/>
      <c r="T229" s="1193"/>
      <c r="U229" s="301"/>
      <c r="V229" s="48">
        <f t="shared" si="22"/>
        <v>229</v>
      </c>
      <c r="W229" s="199" t="str">
        <f>IF(R229="","未入力あり","✔")</f>
        <v>✔</v>
      </c>
      <c r="Y229" s="164"/>
      <c r="AA229" s="192"/>
      <c r="AB229" s="192"/>
      <c r="AC229" s="192"/>
      <c r="AD229" s="192"/>
    </row>
    <row r="230" spans="1:30" ht="20.100000000000001" customHeight="1">
      <c r="A230" s="214"/>
      <c r="B230" s="215"/>
      <c r="C230" s="215"/>
      <c r="D230" s="215"/>
      <c r="E230" s="215"/>
      <c r="F230" s="216"/>
      <c r="G230" s="217"/>
      <c r="H230" s="230"/>
      <c r="I230" s="235"/>
      <c r="J230" s="5"/>
      <c r="K230" s="5"/>
      <c r="L230" s="5"/>
      <c r="M230" s="5"/>
      <c r="N230" s="5"/>
      <c r="O230" s="5"/>
      <c r="P230" s="5"/>
      <c r="Q230" s="5"/>
      <c r="R230" s="5"/>
      <c r="S230" s="5"/>
      <c r="T230" s="216"/>
      <c r="U230" s="229"/>
      <c r="V230" s="48">
        <f t="shared" si="22"/>
        <v>230</v>
      </c>
      <c r="Y230" s="164"/>
    </row>
    <row r="231" spans="1:30" ht="20.100000000000001" customHeight="1">
      <c r="A231" s="302" t="s">
        <v>503</v>
      </c>
      <c r="B231" s="303"/>
      <c r="C231" s="215"/>
      <c r="D231" s="303"/>
      <c r="E231" s="304"/>
      <c r="F231" s="305"/>
      <c r="G231" s="305"/>
      <c r="H231" s="305"/>
      <c r="I231" s="305"/>
      <c r="J231" s="305"/>
      <c r="K231" s="231"/>
      <c r="L231" s="5"/>
      <c r="M231" s="5"/>
      <c r="N231" s="5"/>
      <c r="O231" s="5"/>
      <c r="P231" s="5"/>
      <c r="Q231" s="5"/>
      <c r="R231" s="235"/>
      <c r="S231" s="5"/>
      <c r="T231" s="216"/>
      <c r="U231" s="229"/>
      <c r="V231" s="48">
        <f t="shared" si="22"/>
        <v>231</v>
      </c>
      <c r="Y231" s="164"/>
    </row>
    <row r="232" spans="1:30" ht="20.100000000000001" customHeight="1">
      <c r="A232" s="306"/>
      <c r="B232" s="307" t="s">
        <v>504</v>
      </c>
      <c r="C232" s="308"/>
      <c r="F232" s="192"/>
      <c r="G232" s="192"/>
      <c r="H232" s="193"/>
      <c r="I232" s="193"/>
      <c r="J232" s="309"/>
      <c r="K232" s="202"/>
      <c r="O232" s="192"/>
      <c r="R232" s="192"/>
      <c r="S232" s="192"/>
      <c r="T232" s="192"/>
      <c r="U232" s="310"/>
      <c r="V232" s="48">
        <f t="shared" si="22"/>
        <v>232</v>
      </c>
      <c r="W232" s="192"/>
      <c r="X232" s="192"/>
      <c r="Y232" s="164"/>
      <c r="Z232" s="192"/>
      <c r="AA232" s="192"/>
      <c r="AB232" s="192"/>
      <c r="AC232" s="192"/>
      <c r="AD232" s="192"/>
    </row>
    <row r="233" spans="1:30" ht="20.100000000000001" customHeight="1">
      <c r="A233" s="1002"/>
      <c r="B233" s="307"/>
      <c r="C233" s="311" t="s">
        <v>505</v>
      </c>
      <c r="D233" s="282"/>
      <c r="E233" s="282"/>
      <c r="F233" s="282"/>
      <c r="G233" s="282"/>
      <c r="H233" s="282"/>
      <c r="I233" s="283"/>
      <c r="J233" s="312"/>
      <c r="K233" s="313"/>
      <c r="L233" s="5"/>
      <c r="M233" s="5"/>
      <c r="N233" s="5"/>
      <c r="O233" s="5"/>
      <c r="P233" s="5"/>
      <c r="Q233" s="5"/>
      <c r="R233" s="235"/>
      <c r="S233" s="5"/>
      <c r="T233" s="216"/>
      <c r="U233" s="229"/>
      <c r="V233" s="48">
        <f t="shared" si="22"/>
        <v>233</v>
      </c>
      <c r="Y233" s="164"/>
    </row>
    <row r="234" spans="1:30" ht="20.100000000000001" customHeight="1" thickBot="1">
      <c r="A234" s="1004"/>
      <c r="B234" s="314"/>
      <c r="C234" s="315"/>
      <c r="D234" s="311" t="s">
        <v>506</v>
      </c>
      <c r="E234" s="202"/>
      <c r="F234" s="192"/>
      <c r="G234" s="192"/>
      <c r="H234" s="192"/>
      <c r="I234" s="193"/>
      <c r="J234" s="309"/>
      <c r="K234" s="316"/>
      <c r="L234" s="5"/>
      <c r="M234" s="5"/>
      <c r="N234" s="5"/>
      <c r="O234" s="5"/>
      <c r="P234" s="5"/>
      <c r="Q234" s="5"/>
      <c r="R234" s="317"/>
      <c r="S234" s="215"/>
      <c r="T234" s="216"/>
      <c r="U234" s="229"/>
      <c r="V234" s="48">
        <f t="shared" si="22"/>
        <v>234</v>
      </c>
      <c r="Y234" s="164"/>
    </row>
    <row r="235" spans="1:30" ht="20.100000000000001" customHeight="1" thickBot="1">
      <c r="A235" s="1004"/>
      <c r="B235" s="314"/>
      <c r="C235" s="315"/>
      <c r="D235" s="318"/>
      <c r="E235" s="1184" t="s">
        <v>507</v>
      </c>
      <c r="F235" s="1185"/>
      <c r="G235" s="1185"/>
      <c r="H235" s="1185"/>
      <c r="I235" s="1185"/>
      <c r="J235" s="1186"/>
      <c r="K235" s="316"/>
      <c r="L235" s="5"/>
      <c r="M235" s="5"/>
      <c r="N235" s="5"/>
      <c r="O235" s="5"/>
      <c r="P235" s="5"/>
      <c r="Q235" s="5"/>
      <c r="R235" s="335">
        <v>14</v>
      </c>
      <c r="S235" s="215" t="s">
        <v>494</v>
      </c>
      <c r="T235" s="216"/>
      <c r="U235" s="229"/>
      <c r="V235" s="48">
        <f t="shared" si="22"/>
        <v>235</v>
      </c>
      <c r="W235" s="199" t="str">
        <f t="shared" ref="W235:W238" si="23">IF(R235="","未入力あり","✔")</f>
        <v>✔</v>
      </c>
      <c r="Y235" s="164"/>
      <c r="Z235" s="242">
        <v>0</v>
      </c>
      <c r="AA235" s="242">
        <v>100</v>
      </c>
    </row>
    <row r="236" spans="1:30" ht="20.100000000000001" customHeight="1" thickBot="1">
      <c r="A236" s="1004"/>
      <c r="B236" s="314"/>
      <c r="C236" s="315"/>
      <c r="D236" s="318"/>
      <c r="E236" s="319" t="s">
        <v>508</v>
      </c>
      <c r="F236" s="215"/>
      <c r="G236" s="215"/>
      <c r="H236" s="215"/>
      <c r="I236" s="217"/>
      <c r="J236" s="320"/>
      <c r="K236" s="316"/>
      <c r="L236" s="5"/>
      <c r="M236" s="5"/>
      <c r="N236" s="5"/>
      <c r="O236" s="5"/>
      <c r="P236" s="5"/>
      <c r="Q236" s="5"/>
      <c r="R236" s="335">
        <v>136</v>
      </c>
      <c r="S236" s="215" t="s">
        <v>494</v>
      </c>
      <c r="T236" s="216"/>
      <c r="U236" s="229"/>
      <c r="V236" s="48">
        <f t="shared" si="22"/>
        <v>236</v>
      </c>
      <c r="W236" s="199" t="str">
        <f t="shared" si="23"/>
        <v>✔</v>
      </c>
      <c r="Y236" s="164"/>
      <c r="Z236" s="242">
        <v>0</v>
      </c>
      <c r="AA236" s="242">
        <v>300</v>
      </c>
    </row>
    <row r="237" spans="1:30" ht="20.100000000000001" customHeight="1" thickBot="1">
      <c r="A237" s="1004"/>
      <c r="B237" s="314"/>
      <c r="C237" s="315"/>
      <c r="D237" s="318"/>
      <c r="E237" s="311" t="s">
        <v>509</v>
      </c>
      <c r="F237" s="282" t="s">
        <v>510</v>
      </c>
      <c r="G237" s="282"/>
      <c r="H237" s="282"/>
      <c r="I237" s="283"/>
      <c r="J237" s="321"/>
      <c r="K237" s="316"/>
      <c r="L237" s="5"/>
      <c r="M237" s="5"/>
      <c r="N237" s="5"/>
      <c r="O237" s="5"/>
      <c r="P237" s="5"/>
      <c r="Q237" s="5"/>
      <c r="R237" s="335">
        <v>0</v>
      </c>
      <c r="S237" s="215" t="s">
        <v>494</v>
      </c>
      <c r="T237" s="216"/>
      <c r="U237" s="229"/>
      <c r="V237" s="48">
        <f t="shared" si="22"/>
        <v>237</v>
      </c>
      <c r="W237" s="199" t="str">
        <f t="shared" ref="W237" si="24">IF(R237="","未入力あり","✔")</f>
        <v>✔</v>
      </c>
      <c r="Y237" s="164"/>
      <c r="Z237" s="242">
        <v>0</v>
      </c>
      <c r="AA237" s="239">
        <v>200</v>
      </c>
    </row>
    <row r="238" spans="1:30" ht="20.100000000000001" customHeight="1" thickBot="1">
      <c r="A238" s="1004"/>
      <c r="B238" s="314"/>
      <c r="C238" s="315"/>
      <c r="D238" s="318"/>
      <c r="E238" s="311" t="s">
        <v>511</v>
      </c>
      <c r="F238" s="282"/>
      <c r="G238" s="282"/>
      <c r="H238" s="282"/>
      <c r="I238" s="283"/>
      <c r="J238" s="321"/>
      <c r="K238" s="316"/>
      <c r="L238" s="5"/>
      <c r="M238" s="5"/>
      <c r="N238" s="5"/>
      <c r="O238" s="5"/>
      <c r="P238" s="5"/>
      <c r="Q238" s="5"/>
      <c r="R238" s="335">
        <v>305</v>
      </c>
      <c r="S238" s="215" t="s">
        <v>494</v>
      </c>
      <c r="T238" s="216"/>
      <c r="U238" s="229"/>
      <c r="V238" s="48">
        <f t="shared" si="22"/>
        <v>238</v>
      </c>
      <c r="W238" s="199" t="str">
        <f t="shared" si="23"/>
        <v>✔</v>
      </c>
      <c r="Y238" s="164"/>
      <c r="Z238" s="242">
        <v>0</v>
      </c>
      <c r="AA238" s="242">
        <v>1100</v>
      </c>
    </row>
    <row r="239" spans="1:30" ht="20.100000000000001" customHeight="1" thickBot="1">
      <c r="A239" s="1002"/>
      <c r="B239" s="307"/>
      <c r="C239" s="315"/>
      <c r="D239" s="311" t="s">
        <v>512</v>
      </c>
      <c r="E239" s="215"/>
      <c r="F239" s="215"/>
      <c r="G239" s="215"/>
      <c r="H239" s="215"/>
      <c r="I239" s="217"/>
      <c r="J239" s="231"/>
      <c r="K239" s="316"/>
      <c r="L239" s="5"/>
      <c r="M239" s="5"/>
      <c r="N239" s="5"/>
      <c r="O239" s="5"/>
      <c r="P239" s="5"/>
      <c r="Q239" s="5"/>
      <c r="R239" s="243"/>
      <c r="S239" s="5"/>
      <c r="T239" s="216"/>
      <c r="U239" s="229"/>
      <c r="V239" s="48">
        <f t="shared" si="22"/>
        <v>239</v>
      </c>
      <c r="Y239" s="164"/>
      <c r="Z239" s="192"/>
      <c r="AA239" s="192"/>
    </row>
    <row r="240" spans="1:30" ht="20.100000000000001" customHeight="1" thickBot="1">
      <c r="A240" s="1002"/>
      <c r="B240" s="307"/>
      <c r="C240" s="315"/>
      <c r="D240" s="322"/>
      <c r="E240" s="319" t="s">
        <v>513</v>
      </c>
      <c r="F240" s="215"/>
      <c r="G240" s="215"/>
      <c r="H240" s="215"/>
      <c r="I240" s="217"/>
      <c r="J240" s="320"/>
      <c r="K240" s="316"/>
      <c r="L240" s="5"/>
      <c r="M240" s="5"/>
      <c r="N240" s="5"/>
      <c r="O240" s="5"/>
      <c r="P240" s="5"/>
      <c r="Q240" s="5"/>
      <c r="R240" s="335">
        <v>1</v>
      </c>
      <c r="S240" s="215" t="s">
        <v>494</v>
      </c>
      <c r="T240" s="216"/>
      <c r="U240" s="229"/>
      <c r="V240" s="48">
        <f t="shared" si="22"/>
        <v>240</v>
      </c>
      <c r="W240" s="199" t="str">
        <f t="shared" ref="W240:W242" si="25">IF(R240="","未入力あり","✔")</f>
        <v>✔</v>
      </c>
      <c r="Y240" s="164"/>
      <c r="Z240" s="242">
        <v>0</v>
      </c>
      <c r="AA240" s="242">
        <v>90</v>
      </c>
    </row>
    <row r="241" spans="1:27" ht="20.100000000000001" customHeight="1" thickBot="1">
      <c r="A241" s="1002"/>
      <c r="B241" s="307"/>
      <c r="C241" s="315"/>
      <c r="D241" s="323"/>
      <c r="E241" s="319" t="s">
        <v>514</v>
      </c>
      <c r="F241" s="215"/>
      <c r="G241" s="215"/>
      <c r="H241" s="215"/>
      <c r="I241" s="217" t="s">
        <v>515</v>
      </c>
      <c r="J241" s="324"/>
      <c r="K241" s="316"/>
      <c r="L241" s="5"/>
      <c r="M241" s="5"/>
      <c r="N241" s="5"/>
      <c r="O241" s="5"/>
      <c r="P241" s="5"/>
      <c r="Q241" s="5"/>
      <c r="R241" s="335">
        <v>33</v>
      </c>
      <c r="S241" s="215" t="s">
        <v>494</v>
      </c>
      <c r="T241" s="216"/>
      <c r="U241" s="229"/>
      <c r="V241" s="48">
        <f t="shared" si="22"/>
        <v>241</v>
      </c>
      <c r="W241" s="199" t="str">
        <f t="shared" si="25"/>
        <v>✔</v>
      </c>
      <c r="Y241" s="164"/>
      <c r="Z241" s="242">
        <v>0</v>
      </c>
      <c r="AA241" s="242">
        <v>300</v>
      </c>
    </row>
    <row r="242" spans="1:27" ht="20.100000000000001" customHeight="1" thickBot="1">
      <c r="A242" s="1004"/>
      <c r="B242" s="314"/>
      <c r="C242" s="315"/>
      <c r="D242" s="318"/>
      <c r="E242" s="311" t="s">
        <v>509</v>
      </c>
      <c r="F242" s="282" t="s">
        <v>510</v>
      </c>
      <c r="G242" s="282"/>
      <c r="H242" s="282"/>
      <c r="I242" s="283"/>
      <c r="J242" s="321"/>
      <c r="K242" s="316"/>
      <c r="L242" s="5"/>
      <c r="M242" s="5"/>
      <c r="N242" s="5"/>
      <c r="O242" s="5"/>
      <c r="P242" s="5"/>
      <c r="Q242" s="5"/>
      <c r="R242" s="335">
        <v>0</v>
      </c>
      <c r="S242" s="215" t="s">
        <v>494</v>
      </c>
      <c r="T242" s="216"/>
      <c r="U242" s="229"/>
      <c r="V242" s="48">
        <f t="shared" si="22"/>
        <v>242</v>
      </c>
      <c r="W242" s="199" t="str">
        <f t="shared" si="25"/>
        <v>✔</v>
      </c>
      <c r="Y242" s="164"/>
      <c r="Z242" s="242">
        <v>0</v>
      </c>
      <c r="AA242" s="239">
        <v>200</v>
      </c>
    </row>
    <row r="243" spans="1:27" ht="20.100000000000001" customHeight="1" thickBot="1">
      <c r="A243" s="1004"/>
      <c r="B243" s="314"/>
      <c r="C243" s="315"/>
      <c r="D243" s="1187" t="s">
        <v>516</v>
      </c>
      <c r="E243" s="1181"/>
      <c r="F243" s="1181"/>
      <c r="G243" s="1181"/>
      <c r="H243" s="1181"/>
      <c r="I243" s="1181"/>
      <c r="J243" s="1181"/>
      <c r="K243" s="316"/>
      <c r="L243" s="5"/>
      <c r="M243" s="5"/>
      <c r="N243" s="5"/>
      <c r="O243" s="5"/>
      <c r="P243" s="5"/>
      <c r="Q243" s="5"/>
      <c r="R243" s="325"/>
      <c r="S243" s="215"/>
      <c r="T243" s="216"/>
      <c r="U243" s="229"/>
      <c r="V243" s="48">
        <f t="shared" si="22"/>
        <v>243</v>
      </c>
      <c r="Y243" s="164"/>
      <c r="Z243" s="192"/>
      <c r="AA243" s="192"/>
    </row>
    <row r="244" spans="1:27" ht="20.100000000000001" customHeight="1" thickBot="1">
      <c r="A244" s="1004"/>
      <c r="B244" s="314"/>
      <c r="C244" s="315"/>
      <c r="D244" s="318"/>
      <c r="E244" s="1188" t="s">
        <v>517</v>
      </c>
      <c r="F244" s="1189"/>
      <c r="G244" s="1189"/>
      <c r="H244" s="1189"/>
      <c r="I244" s="1189"/>
      <c r="J244" s="1190"/>
      <c r="K244" s="316"/>
      <c r="L244" s="5"/>
      <c r="M244" s="5"/>
      <c r="N244" s="5"/>
      <c r="O244" s="5"/>
      <c r="P244" s="5"/>
      <c r="Q244" s="5"/>
      <c r="R244" s="335">
        <v>3</v>
      </c>
      <c r="S244" s="215" t="s">
        <v>494</v>
      </c>
      <c r="T244" s="216"/>
      <c r="U244" s="229"/>
      <c r="V244" s="48">
        <f t="shared" si="22"/>
        <v>244</v>
      </c>
      <c r="W244" s="199" t="str">
        <f t="shared" ref="W244:W248" si="26">IF(R244="","未入力あり","✔")</f>
        <v>✔</v>
      </c>
      <c r="Y244" s="164"/>
      <c r="Z244" s="242">
        <v>0</v>
      </c>
      <c r="AA244" s="242">
        <v>70</v>
      </c>
    </row>
    <row r="245" spans="1:27" ht="20.100000000000001" customHeight="1" thickBot="1">
      <c r="A245" s="1004"/>
      <c r="B245" s="314"/>
      <c r="C245" s="315"/>
      <c r="D245" s="318"/>
      <c r="E245" s="319" t="s">
        <v>518</v>
      </c>
      <c r="F245" s="215"/>
      <c r="G245" s="215"/>
      <c r="H245" s="215"/>
      <c r="I245" s="217"/>
      <c r="J245" s="320"/>
      <c r="K245" s="316"/>
      <c r="L245" s="5"/>
      <c r="M245" s="5"/>
      <c r="N245" s="5"/>
      <c r="O245" s="5"/>
      <c r="P245" s="5"/>
      <c r="Q245" s="5"/>
      <c r="R245" s="335">
        <v>69</v>
      </c>
      <c r="S245" s="215" t="s">
        <v>494</v>
      </c>
      <c r="T245" s="216"/>
      <c r="U245" s="229"/>
      <c r="V245" s="48">
        <f t="shared" si="22"/>
        <v>245</v>
      </c>
      <c r="W245" s="199" t="str">
        <f t="shared" si="26"/>
        <v>✔</v>
      </c>
      <c r="Y245" s="164"/>
      <c r="Z245" s="242">
        <v>0</v>
      </c>
      <c r="AA245" s="242">
        <v>130</v>
      </c>
    </row>
    <row r="246" spans="1:27" ht="20.100000000000001" customHeight="1" thickBot="1">
      <c r="A246" s="1004"/>
      <c r="B246" s="314"/>
      <c r="C246" s="315"/>
      <c r="D246" s="318"/>
      <c r="E246" s="319" t="s">
        <v>519</v>
      </c>
      <c r="F246" s="215"/>
      <c r="G246" s="215"/>
      <c r="H246" s="215"/>
      <c r="I246" s="217"/>
      <c r="J246" s="320"/>
      <c r="K246" s="316"/>
      <c r="L246" s="5"/>
      <c r="M246" s="5"/>
      <c r="N246" s="5"/>
      <c r="O246" s="5"/>
      <c r="P246" s="5"/>
      <c r="Q246" s="5"/>
      <c r="R246" s="335">
        <v>27</v>
      </c>
      <c r="S246" s="215" t="s">
        <v>494</v>
      </c>
      <c r="T246" s="216"/>
      <c r="U246" s="229"/>
      <c r="V246" s="48">
        <f t="shared" si="22"/>
        <v>246</v>
      </c>
      <c r="W246" s="199" t="str">
        <f t="shared" ref="W246" si="27">IF(R246="","未入力あり","✔")</f>
        <v>✔</v>
      </c>
      <c r="Y246" s="164"/>
      <c r="Z246" s="242">
        <v>0</v>
      </c>
      <c r="AA246" s="239">
        <v>100</v>
      </c>
    </row>
    <row r="247" spans="1:27" ht="20.100000000000001" customHeight="1" thickBot="1">
      <c r="A247" s="1004"/>
      <c r="B247" s="314"/>
      <c r="C247" s="315"/>
      <c r="D247" s="318"/>
      <c r="E247" s="319" t="s">
        <v>520</v>
      </c>
      <c r="F247" s="215"/>
      <c r="G247" s="215"/>
      <c r="H247" s="215"/>
      <c r="I247" s="217" t="s">
        <v>515</v>
      </c>
      <c r="J247" s="320"/>
      <c r="K247" s="316"/>
      <c r="L247" s="5"/>
      <c r="M247" s="5"/>
      <c r="N247" s="5"/>
      <c r="O247" s="5"/>
      <c r="P247" s="5"/>
      <c r="Q247" s="5"/>
      <c r="R247" s="335">
        <v>4</v>
      </c>
      <c r="S247" s="215" t="s">
        <v>494</v>
      </c>
      <c r="T247" s="216"/>
      <c r="U247" s="229"/>
      <c r="V247" s="48">
        <f t="shared" si="22"/>
        <v>247</v>
      </c>
      <c r="W247" s="199" t="str">
        <f t="shared" si="26"/>
        <v>✔</v>
      </c>
      <c r="Y247" s="164"/>
      <c r="Z247" s="242">
        <v>0</v>
      </c>
      <c r="AA247" s="242">
        <v>40</v>
      </c>
    </row>
    <row r="248" spans="1:27" ht="20.100000000000001" customHeight="1" thickBot="1">
      <c r="A248" s="1004"/>
      <c r="B248" s="314"/>
      <c r="C248" s="315"/>
      <c r="D248" s="318"/>
      <c r="E248" s="319" t="s">
        <v>521</v>
      </c>
      <c r="F248" s="215"/>
      <c r="G248" s="215"/>
      <c r="H248" s="215"/>
      <c r="I248" s="217"/>
      <c r="J248" s="320"/>
      <c r="K248" s="316"/>
      <c r="L248" s="5"/>
      <c r="M248" s="5"/>
      <c r="N248" s="5"/>
      <c r="O248" s="5"/>
      <c r="P248" s="5"/>
      <c r="Q248" s="5"/>
      <c r="R248" s="335">
        <v>75</v>
      </c>
      <c r="S248" s="215" t="s">
        <v>494</v>
      </c>
      <c r="T248" s="216"/>
      <c r="U248" s="229"/>
      <c r="V248" s="48">
        <f t="shared" si="22"/>
        <v>248</v>
      </c>
      <c r="W248" s="199" t="str">
        <f t="shared" si="26"/>
        <v>✔</v>
      </c>
      <c r="Y248" s="164"/>
      <c r="Z248" s="242">
        <v>0</v>
      </c>
      <c r="AA248" s="242">
        <v>220</v>
      </c>
    </row>
    <row r="249" spans="1:27" ht="20.100000000000001" customHeight="1" thickBot="1">
      <c r="A249" s="1004"/>
      <c r="B249" s="314"/>
      <c r="C249" s="315"/>
      <c r="D249" s="311" t="s">
        <v>522</v>
      </c>
      <c r="F249" s="192"/>
      <c r="G249" s="192"/>
      <c r="H249" s="192"/>
      <c r="I249" s="193" t="s">
        <v>515</v>
      </c>
      <c r="J249" s="309"/>
      <c r="K249" s="316"/>
      <c r="L249" s="5"/>
      <c r="M249" s="5"/>
      <c r="N249" s="5"/>
      <c r="O249" s="5"/>
      <c r="P249" s="5"/>
      <c r="Q249" s="5"/>
      <c r="R249" s="317"/>
      <c r="S249" s="215"/>
      <c r="T249" s="216"/>
      <c r="U249" s="229"/>
      <c r="V249" s="48">
        <f t="shared" si="22"/>
        <v>249</v>
      </c>
      <c r="Y249" s="164"/>
      <c r="Z249" s="192"/>
      <c r="AA249" s="192"/>
    </row>
    <row r="250" spans="1:27" ht="20.100000000000001" customHeight="1" thickBot="1">
      <c r="A250" s="1004"/>
      <c r="B250" s="314"/>
      <c r="C250" s="315"/>
      <c r="D250" s="318"/>
      <c r="E250" s="319" t="s">
        <v>523</v>
      </c>
      <c r="F250" s="215"/>
      <c r="G250" s="215"/>
      <c r="H250" s="215"/>
      <c r="I250" s="217" t="s">
        <v>515</v>
      </c>
      <c r="J250" s="320"/>
      <c r="K250" s="316"/>
      <c r="L250" s="5"/>
      <c r="M250" s="5"/>
      <c r="N250" s="5"/>
      <c r="O250" s="5"/>
      <c r="P250" s="5"/>
      <c r="Q250" s="5"/>
      <c r="R250" s="335">
        <v>118</v>
      </c>
      <c r="S250" s="215" t="s">
        <v>494</v>
      </c>
      <c r="T250" s="216"/>
      <c r="U250" s="229"/>
      <c r="V250" s="48">
        <f t="shared" si="22"/>
        <v>250</v>
      </c>
      <c r="W250" s="199" t="str">
        <f t="shared" ref="W250:W254" si="28">IF(R250="","未入力あり","✔")</f>
        <v>✔</v>
      </c>
      <c r="Y250" s="164"/>
      <c r="Z250" s="242">
        <v>0</v>
      </c>
      <c r="AA250" s="242">
        <v>540</v>
      </c>
    </row>
    <row r="251" spans="1:27" ht="20.100000000000001" customHeight="1" thickBot="1">
      <c r="A251" s="1004"/>
      <c r="B251" s="314"/>
      <c r="C251" s="315"/>
      <c r="D251" s="318"/>
      <c r="E251" s="319" t="s">
        <v>524</v>
      </c>
      <c r="F251" s="215"/>
      <c r="G251" s="215"/>
      <c r="H251" s="215"/>
      <c r="I251" s="217" t="s">
        <v>515</v>
      </c>
      <c r="J251" s="320"/>
      <c r="K251" s="316"/>
      <c r="L251" s="5"/>
      <c r="M251" s="5"/>
      <c r="N251" s="5"/>
      <c r="O251" s="5"/>
      <c r="P251" s="5"/>
      <c r="Q251" s="5"/>
      <c r="R251" s="335">
        <v>0</v>
      </c>
      <c r="S251" s="215" t="s">
        <v>494</v>
      </c>
      <c r="T251" s="216"/>
      <c r="U251" s="229"/>
      <c r="V251" s="48">
        <f t="shared" si="22"/>
        <v>251</v>
      </c>
      <c r="W251" s="199" t="str">
        <f t="shared" si="28"/>
        <v>✔</v>
      </c>
      <c r="Y251" s="164"/>
      <c r="Z251" s="242">
        <v>0</v>
      </c>
      <c r="AA251" s="242">
        <v>10</v>
      </c>
    </row>
    <row r="252" spans="1:27" ht="20.100000000000001" customHeight="1" thickBot="1">
      <c r="A252" s="1004"/>
      <c r="B252" s="314"/>
      <c r="C252" s="315"/>
      <c r="D252" s="318"/>
      <c r="E252" s="319" t="s">
        <v>525</v>
      </c>
      <c r="F252" s="215"/>
      <c r="G252" s="215"/>
      <c r="H252" s="215"/>
      <c r="I252" s="217" t="s">
        <v>515</v>
      </c>
      <c r="J252" s="320"/>
      <c r="K252" s="316"/>
      <c r="L252" s="5"/>
      <c r="M252" s="5"/>
      <c r="N252" s="5"/>
      <c r="O252" s="5"/>
      <c r="P252" s="5"/>
      <c r="Q252" s="5"/>
      <c r="R252" s="335">
        <v>2</v>
      </c>
      <c r="S252" s="215" t="s">
        <v>494</v>
      </c>
      <c r="T252" s="216"/>
      <c r="U252" s="229"/>
      <c r="V252" s="48">
        <f t="shared" si="22"/>
        <v>252</v>
      </c>
      <c r="W252" s="199" t="str">
        <f t="shared" si="28"/>
        <v>✔</v>
      </c>
      <c r="Y252" s="164"/>
      <c r="Z252" s="242">
        <v>0</v>
      </c>
      <c r="AA252" s="242">
        <v>40</v>
      </c>
    </row>
    <row r="253" spans="1:27" ht="20.100000000000001" customHeight="1" thickBot="1">
      <c r="A253" s="1004"/>
      <c r="B253" s="314"/>
      <c r="C253" s="315"/>
      <c r="D253" s="318"/>
      <c r="E253" s="319" t="s">
        <v>526</v>
      </c>
      <c r="F253" s="215"/>
      <c r="G253" s="215"/>
      <c r="H253" s="215"/>
      <c r="I253" s="217" t="s">
        <v>515</v>
      </c>
      <c r="J253" s="320"/>
      <c r="K253" s="316"/>
      <c r="L253" s="5"/>
      <c r="M253" s="5"/>
      <c r="N253" s="5"/>
      <c r="O253" s="5"/>
      <c r="P253" s="5"/>
      <c r="Q253" s="5"/>
      <c r="R253" s="335">
        <v>100</v>
      </c>
      <c r="S253" s="215" t="s">
        <v>494</v>
      </c>
      <c r="T253" s="216"/>
      <c r="U253" s="229"/>
      <c r="V253" s="48">
        <f t="shared" si="22"/>
        <v>253</v>
      </c>
      <c r="W253" s="199" t="str">
        <f t="shared" si="28"/>
        <v>✔</v>
      </c>
      <c r="Y253" s="164"/>
      <c r="Z253" s="242">
        <v>0</v>
      </c>
      <c r="AA253" s="242">
        <v>200</v>
      </c>
    </row>
    <row r="254" spans="1:27" ht="20.100000000000001" customHeight="1" thickBot="1">
      <c r="A254" s="1004"/>
      <c r="B254" s="314"/>
      <c r="C254" s="315"/>
      <c r="D254" s="318"/>
      <c r="E254" s="311" t="s">
        <v>527</v>
      </c>
      <c r="F254" s="282"/>
      <c r="G254" s="282"/>
      <c r="H254" s="283"/>
      <c r="I254" s="283"/>
      <c r="J254" s="321"/>
      <c r="K254" s="316"/>
      <c r="L254" s="5"/>
      <c r="M254" s="5"/>
      <c r="N254" s="5"/>
      <c r="O254" s="5"/>
      <c r="P254" s="5"/>
      <c r="Q254" s="5"/>
      <c r="R254" s="335">
        <v>0</v>
      </c>
      <c r="S254" s="215" t="s">
        <v>494</v>
      </c>
      <c r="T254" s="216"/>
      <c r="U254" s="229"/>
      <c r="V254" s="48">
        <f t="shared" si="22"/>
        <v>254</v>
      </c>
      <c r="W254" s="199" t="str">
        <f t="shared" si="28"/>
        <v>✔</v>
      </c>
      <c r="Y254" s="164"/>
      <c r="Z254" s="242">
        <v>0</v>
      </c>
      <c r="AA254" s="242">
        <v>40</v>
      </c>
    </row>
    <row r="255" spans="1:27" ht="20.100000000000001" customHeight="1" thickBot="1">
      <c r="A255" s="1004"/>
      <c r="B255" s="314"/>
      <c r="C255" s="315"/>
      <c r="D255" s="311" t="s">
        <v>528</v>
      </c>
      <c r="F255" s="192"/>
      <c r="G255" s="192"/>
      <c r="H255" s="192"/>
      <c r="I255" s="193"/>
      <c r="J255" s="309"/>
      <c r="K255" s="316"/>
      <c r="L255" s="5"/>
      <c r="M255" s="5"/>
      <c r="N255" s="5"/>
      <c r="O255" s="5"/>
      <c r="P255" s="5"/>
      <c r="Q255" s="5"/>
      <c r="R255" s="317"/>
      <c r="S255" s="215"/>
      <c r="T255" s="216"/>
      <c r="U255" s="229"/>
      <c r="V255" s="48">
        <f t="shared" si="22"/>
        <v>255</v>
      </c>
      <c r="Y255" s="164"/>
      <c r="Z255" s="192"/>
      <c r="AA255" s="192"/>
    </row>
    <row r="256" spans="1:27" ht="20.100000000000001" customHeight="1" thickBot="1">
      <c r="A256" s="1004"/>
      <c r="B256" s="314"/>
      <c r="C256" s="315"/>
      <c r="D256" s="318"/>
      <c r="E256" s="1184" t="s">
        <v>529</v>
      </c>
      <c r="F256" s="1185"/>
      <c r="G256" s="1185"/>
      <c r="H256" s="1185"/>
      <c r="I256" s="1185"/>
      <c r="J256" s="1186"/>
      <c r="K256" s="316"/>
      <c r="L256" s="5"/>
      <c r="M256" s="5"/>
      <c r="N256" s="5"/>
      <c r="O256" s="5"/>
      <c r="P256" s="5"/>
      <c r="Q256" s="5"/>
      <c r="R256" s="335">
        <v>0</v>
      </c>
      <c r="S256" s="215" t="s">
        <v>494</v>
      </c>
      <c r="T256" s="216"/>
      <c r="U256" s="229"/>
      <c r="V256" s="48">
        <f t="shared" si="22"/>
        <v>256</v>
      </c>
      <c r="W256" s="199" t="str">
        <f t="shared" ref="W256:W257" si="29">IF(R256="","未入力あり","✔")</f>
        <v>✔</v>
      </c>
      <c r="Y256" s="164"/>
      <c r="Z256" s="242">
        <v>0</v>
      </c>
      <c r="AA256" s="239">
        <v>200</v>
      </c>
    </row>
    <row r="257" spans="1:27" ht="20.100000000000001" customHeight="1" thickBot="1">
      <c r="A257" s="1004"/>
      <c r="B257" s="314"/>
      <c r="C257" s="315"/>
      <c r="D257" s="318"/>
      <c r="E257" s="319" t="s">
        <v>530</v>
      </c>
      <c r="F257" s="215"/>
      <c r="G257" s="215"/>
      <c r="H257" s="215"/>
      <c r="I257" s="217"/>
      <c r="J257" s="320"/>
      <c r="K257" s="316"/>
      <c r="L257" s="5"/>
      <c r="M257" s="5"/>
      <c r="N257" s="5"/>
      <c r="O257" s="5"/>
      <c r="P257" s="5"/>
      <c r="Q257" s="5"/>
      <c r="R257" s="335">
        <v>70</v>
      </c>
      <c r="S257" s="215" t="s">
        <v>494</v>
      </c>
      <c r="T257" s="216"/>
      <c r="U257" s="229"/>
      <c r="V257" s="48">
        <f t="shared" si="22"/>
        <v>257</v>
      </c>
      <c r="W257" s="199" t="str">
        <f t="shared" si="29"/>
        <v>✔</v>
      </c>
      <c r="Y257" s="164"/>
      <c r="Z257" s="242">
        <v>0</v>
      </c>
      <c r="AA257" s="239">
        <v>200</v>
      </c>
    </row>
    <row r="258" spans="1:27" ht="20.100000000000001" customHeight="1" thickBot="1">
      <c r="A258" s="1004"/>
      <c r="B258" s="314"/>
      <c r="C258" s="315"/>
      <c r="D258" s="318"/>
      <c r="E258" s="319" t="s">
        <v>531</v>
      </c>
      <c r="F258" s="215"/>
      <c r="G258" s="215"/>
      <c r="H258" s="215"/>
      <c r="I258" s="217"/>
      <c r="J258" s="320"/>
      <c r="K258" s="316"/>
      <c r="L258" s="5"/>
      <c r="M258" s="5"/>
      <c r="N258" s="5"/>
      <c r="O258" s="5"/>
      <c r="P258" s="5"/>
      <c r="Q258" s="5"/>
      <c r="R258" s="335">
        <v>70</v>
      </c>
      <c r="S258" s="215" t="s">
        <v>494</v>
      </c>
      <c r="T258" s="216"/>
      <c r="U258" s="229"/>
      <c r="V258" s="48">
        <f t="shared" si="22"/>
        <v>258</v>
      </c>
      <c r="W258" s="199" t="str">
        <f t="shared" ref="W258" si="30">IF(R258="","未入力あり","✔")</f>
        <v>✔</v>
      </c>
      <c r="Y258" s="164"/>
      <c r="Z258" s="242">
        <v>0</v>
      </c>
      <c r="AA258" s="239">
        <v>200</v>
      </c>
    </row>
    <row r="259" spans="1:27" ht="20.100000000000001" customHeight="1" thickBot="1">
      <c r="A259" s="1004"/>
      <c r="B259" s="314"/>
      <c r="C259" s="315"/>
      <c r="D259" s="311" t="s">
        <v>532</v>
      </c>
      <c r="E259" s="282"/>
      <c r="F259" s="282"/>
      <c r="G259" s="282"/>
      <c r="H259" s="282"/>
      <c r="I259" s="283" t="s">
        <v>515</v>
      </c>
      <c r="J259" s="312"/>
      <c r="K259" s="316"/>
      <c r="L259" s="5"/>
      <c r="M259" s="5"/>
      <c r="N259" s="5"/>
      <c r="O259" s="5"/>
      <c r="P259" s="5"/>
      <c r="Q259" s="5"/>
      <c r="R259" s="317"/>
      <c r="S259" s="215"/>
      <c r="T259" s="216"/>
      <c r="U259" s="229"/>
      <c r="V259" s="48">
        <f t="shared" si="22"/>
        <v>259</v>
      </c>
      <c r="Y259" s="164"/>
      <c r="Z259" s="192"/>
      <c r="AA259" s="192"/>
    </row>
    <row r="260" spans="1:27" ht="20.100000000000001" customHeight="1" thickBot="1">
      <c r="A260" s="1004"/>
      <c r="B260" s="314"/>
      <c r="C260" s="315"/>
      <c r="D260" s="326"/>
      <c r="E260" s="319" t="s">
        <v>533</v>
      </c>
      <c r="F260" s="215"/>
      <c r="G260" s="215"/>
      <c r="H260" s="215"/>
      <c r="I260" s="217"/>
      <c r="J260" s="320"/>
      <c r="K260" s="316"/>
      <c r="L260" s="5"/>
      <c r="M260" s="5"/>
      <c r="N260" s="5"/>
      <c r="O260" s="5"/>
      <c r="P260" s="5"/>
      <c r="Q260" s="5"/>
      <c r="R260" s="335">
        <v>5</v>
      </c>
      <c r="S260" s="215" t="s">
        <v>494</v>
      </c>
      <c r="T260" s="216"/>
      <c r="U260" s="229"/>
      <c r="V260" s="48">
        <f t="shared" si="22"/>
        <v>260</v>
      </c>
      <c r="W260" s="199" t="str">
        <f t="shared" ref="W260:W264" si="31">IF(R260="","未入力あり","✔")</f>
        <v>✔</v>
      </c>
      <c r="Y260" s="164"/>
      <c r="Z260" s="242">
        <v>0</v>
      </c>
      <c r="AA260" s="242">
        <v>70</v>
      </c>
    </row>
    <row r="261" spans="1:27" ht="20.100000000000001" customHeight="1" thickBot="1">
      <c r="A261" s="1004"/>
      <c r="B261" s="314"/>
      <c r="C261" s="315"/>
      <c r="D261" s="326"/>
      <c r="E261" s="319" t="s">
        <v>534</v>
      </c>
      <c r="F261" s="215"/>
      <c r="G261" s="215"/>
      <c r="H261" s="215"/>
      <c r="I261" s="217"/>
      <c r="J261" s="320"/>
      <c r="K261" s="316"/>
      <c r="L261" s="5"/>
      <c r="M261" s="5"/>
      <c r="N261" s="5"/>
      <c r="O261" s="5"/>
      <c r="P261" s="5"/>
      <c r="Q261" s="5"/>
      <c r="R261" s="335">
        <v>2</v>
      </c>
      <c r="S261" s="215" t="s">
        <v>494</v>
      </c>
      <c r="T261" s="216"/>
      <c r="U261" s="229"/>
      <c r="V261" s="48">
        <f t="shared" si="22"/>
        <v>261</v>
      </c>
      <c r="W261" s="199" t="str">
        <f t="shared" si="31"/>
        <v>✔</v>
      </c>
      <c r="Y261" s="164"/>
      <c r="Z261" s="242">
        <v>0</v>
      </c>
      <c r="AA261" s="242">
        <v>60</v>
      </c>
    </row>
    <row r="262" spans="1:27" ht="20.100000000000001" customHeight="1" thickBot="1">
      <c r="A262" s="1004"/>
      <c r="B262" s="314"/>
      <c r="C262" s="315"/>
      <c r="D262" s="326"/>
      <c r="E262" s="319" t="s">
        <v>509</v>
      </c>
      <c r="F262" s="215" t="s">
        <v>510</v>
      </c>
      <c r="G262" s="215"/>
      <c r="H262" s="215"/>
      <c r="I262" s="217"/>
      <c r="J262" s="320"/>
      <c r="K262" s="316"/>
      <c r="L262" s="5"/>
      <c r="M262" s="5"/>
      <c r="N262" s="5"/>
      <c r="O262" s="5"/>
      <c r="P262" s="5"/>
      <c r="Q262" s="5"/>
      <c r="R262" s="335">
        <v>0</v>
      </c>
      <c r="S262" s="215" t="s">
        <v>494</v>
      </c>
      <c r="T262" s="216"/>
      <c r="U262" s="229"/>
      <c r="V262" s="48">
        <f t="shared" si="22"/>
        <v>262</v>
      </c>
      <c r="W262" s="199" t="str">
        <f t="shared" ref="W262" si="32">IF(R262="","未入力あり","✔")</f>
        <v>✔</v>
      </c>
      <c r="Y262" s="164"/>
      <c r="Z262" s="242">
        <v>0</v>
      </c>
      <c r="AA262" s="239">
        <v>50</v>
      </c>
    </row>
    <row r="263" spans="1:27" ht="20.100000000000001" customHeight="1" thickBot="1">
      <c r="A263" s="1004"/>
      <c r="B263" s="314"/>
      <c r="C263" s="315"/>
      <c r="D263" s="326"/>
      <c r="E263" s="319" t="s">
        <v>535</v>
      </c>
      <c r="F263" s="215"/>
      <c r="G263" s="215"/>
      <c r="H263" s="215"/>
      <c r="I263" s="217"/>
      <c r="J263" s="320"/>
      <c r="K263" s="316"/>
      <c r="L263" s="5"/>
      <c r="M263" s="5"/>
      <c r="N263" s="5"/>
      <c r="O263" s="5"/>
      <c r="P263" s="5"/>
      <c r="Q263" s="5"/>
      <c r="R263" s="335">
        <v>0</v>
      </c>
      <c r="S263" s="215" t="s">
        <v>494</v>
      </c>
      <c r="T263" s="216"/>
      <c r="U263" s="229"/>
      <c r="V263" s="48">
        <f t="shared" si="22"/>
        <v>263</v>
      </c>
      <c r="W263" s="199" t="str">
        <f t="shared" si="31"/>
        <v>✔</v>
      </c>
      <c r="Y263" s="164"/>
      <c r="Z263" s="242">
        <v>0</v>
      </c>
      <c r="AA263" s="242">
        <v>70</v>
      </c>
    </row>
    <row r="264" spans="1:27" ht="20.100000000000001" customHeight="1" thickBot="1">
      <c r="A264" s="1004"/>
      <c r="B264" s="314"/>
      <c r="C264" s="315"/>
      <c r="D264" s="323"/>
      <c r="E264" s="319" t="s">
        <v>536</v>
      </c>
      <c r="F264" s="215"/>
      <c r="G264" s="215"/>
      <c r="H264" s="215"/>
      <c r="I264" s="217"/>
      <c r="J264" s="320"/>
      <c r="K264" s="316"/>
      <c r="L264" s="5"/>
      <c r="M264" s="5"/>
      <c r="N264" s="5"/>
      <c r="O264" s="5"/>
      <c r="P264" s="5"/>
      <c r="Q264" s="5"/>
      <c r="R264" s="335">
        <v>0</v>
      </c>
      <c r="S264" s="215" t="s">
        <v>494</v>
      </c>
      <c r="T264" s="216"/>
      <c r="U264" s="229"/>
      <c r="V264" s="48">
        <f t="shared" si="22"/>
        <v>264</v>
      </c>
      <c r="W264" s="199" t="str">
        <f t="shared" si="31"/>
        <v>✔</v>
      </c>
      <c r="Y264" s="164"/>
      <c r="Z264" s="242">
        <v>0</v>
      </c>
      <c r="AA264" s="242">
        <v>140</v>
      </c>
    </row>
    <row r="265" spans="1:27" ht="20.100000000000001" customHeight="1" thickBot="1">
      <c r="A265" s="1004"/>
      <c r="B265" s="314"/>
      <c r="C265" s="315"/>
      <c r="D265" s="311" t="s">
        <v>537</v>
      </c>
      <c r="F265" s="192"/>
      <c r="G265" s="192"/>
      <c r="H265" s="192"/>
      <c r="I265" s="193"/>
      <c r="J265" s="309"/>
      <c r="K265" s="316"/>
      <c r="L265" s="5"/>
      <c r="M265" s="5"/>
      <c r="N265" s="5"/>
      <c r="O265" s="5"/>
      <c r="P265" s="5"/>
      <c r="Q265" s="5"/>
      <c r="R265" s="317"/>
      <c r="S265" s="215"/>
      <c r="T265" s="216"/>
      <c r="U265" s="229"/>
      <c r="V265" s="48">
        <f t="shared" si="22"/>
        <v>265</v>
      </c>
      <c r="Y265" s="164"/>
      <c r="Z265" s="192"/>
      <c r="AA265" s="192"/>
    </row>
    <row r="266" spans="1:27" ht="20.100000000000001" customHeight="1" thickBot="1">
      <c r="A266" s="1004"/>
      <c r="B266" s="314"/>
      <c r="C266" s="315"/>
      <c r="D266" s="318"/>
      <c r="E266" s="1184" t="s">
        <v>538</v>
      </c>
      <c r="F266" s="1185"/>
      <c r="G266" s="1185"/>
      <c r="H266" s="1185"/>
      <c r="I266" s="1185"/>
      <c r="J266" s="1186"/>
      <c r="K266" s="316"/>
      <c r="L266" s="5"/>
      <c r="M266" s="5"/>
      <c r="N266" s="5"/>
      <c r="O266" s="5"/>
      <c r="P266" s="5"/>
      <c r="Q266" s="5"/>
      <c r="R266" s="335">
        <v>1</v>
      </c>
      <c r="S266" s="215" t="s">
        <v>494</v>
      </c>
      <c r="T266" s="216"/>
      <c r="U266" s="229"/>
      <c r="V266" s="48">
        <f t="shared" si="22"/>
        <v>266</v>
      </c>
      <c r="W266" s="199" t="str">
        <f t="shared" ref="W266:W267" si="33">IF(R266="","未入力あり","✔")</f>
        <v>✔</v>
      </c>
      <c r="Y266" s="164"/>
      <c r="Z266" s="242">
        <v>0</v>
      </c>
      <c r="AA266" s="239">
        <v>100</v>
      </c>
    </row>
    <row r="267" spans="1:27" ht="20.100000000000001" customHeight="1" thickBot="1">
      <c r="A267" s="1004"/>
      <c r="B267" s="314"/>
      <c r="C267" s="315"/>
      <c r="D267" s="318"/>
      <c r="E267" s="319" t="s">
        <v>539</v>
      </c>
      <c r="F267" s="215"/>
      <c r="G267" s="215"/>
      <c r="H267" s="215"/>
      <c r="I267" s="217"/>
      <c r="J267" s="320"/>
      <c r="K267" s="316"/>
      <c r="L267" s="5"/>
      <c r="M267" s="5"/>
      <c r="N267" s="5"/>
      <c r="O267" s="5"/>
      <c r="P267" s="5"/>
      <c r="Q267" s="5"/>
      <c r="R267" s="335">
        <v>0</v>
      </c>
      <c r="S267" s="215" t="s">
        <v>494</v>
      </c>
      <c r="T267" s="216"/>
      <c r="U267" s="229"/>
      <c r="V267" s="48">
        <f t="shared" si="22"/>
        <v>267</v>
      </c>
      <c r="W267" s="199" t="str">
        <f t="shared" si="33"/>
        <v>✔</v>
      </c>
      <c r="Y267" s="164"/>
      <c r="Z267" s="242">
        <v>0</v>
      </c>
      <c r="AA267" s="239">
        <v>100</v>
      </c>
    </row>
    <row r="268" spans="1:27" ht="20.100000000000001" customHeight="1" thickBot="1">
      <c r="A268" s="1004"/>
      <c r="B268" s="314"/>
      <c r="C268" s="315"/>
      <c r="D268" s="311" t="s">
        <v>540</v>
      </c>
      <c r="F268" s="192"/>
      <c r="G268" s="192"/>
      <c r="H268" s="192"/>
      <c r="I268" s="193"/>
      <c r="J268" s="309"/>
      <c r="K268" s="316"/>
      <c r="L268" s="5"/>
      <c r="M268" s="5"/>
      <c r="N268" s="5"/>
      <c r="O268" s="5"/>
      <c r="P268" s="5"/>
      <c r="Q268" s="5"/>
      <c r="R268" s="317"/>
      <c r="S268" s="215"/>
      <c r="T268" s="216"/>
      <c r="U268" s="229"/>
      <c r="V268" s="48">
        <f t="shared" si="22"/>
        <v>268</v>
      </c>
      <c r="Y268" s="164"/>
      <c r="Z268" s="192"/>
      <c r="AA268" s="192"/>
    </row>
    <row r="269" spans="1:27" ht="20.100000000000001" customHeight="1" thickBot="1">
      <c r="A269" s="1004"/>
      <c r="B269" s="314"/>
      <c r="C269" s="315"/>
      <c r="D269" s="318"/>
      <c r="E269" s="1184" t="s">
        <v>541</v>
      </c>
      <c r="F269" s="1185"/>
      <c r="G269" s="1185"/>
      <c r="H269" s="1185"/>
      <c r="I269" s="1185"/>
      <c r="J269" s="1186"/>
      <c r="K269" s="316"/>
      <c r="L269" s="5"/>
      <c r="M269" s="5"/>
      <c r="N269" s="5"/>
      <c r="O269" s="5"/>
      <c r="P269" s="5"/>
      <c r="Q269" s="5"/>
      <c r="R269" s="335">
        <v>0</v>
      </c>
      <c r="S269" s="215" t="s">
        <v>494</v>
      </c>
      <c r="T269" s="216"/>
      <c r="U269" s="229"/>
      <c r="V269" s="48">
        <f t="shared" si="22"/>
        <v>269</v>
      </c>
      <c r="W269" s="199" t="str">
        <f t="shared" ref="W269" si="34">IF(R269="","未入力あり","✔")</f>
        <v>✔</v>
      </c>
      <c r="Y269" s="164"/>
      <c r="Z269" s="242">
        <v>0</v>
      </c>
      <c r="AA269" s="239">
        <v>150</v>
      </c>
    </row>
    <row r="270" spans="1:27" ht="20.100000000000001" customHeight="1" thickBot="1">
      <c r="A270" s="1004"/>
      <c r="B270" s="314"/>
      <c r="C270" s="315"/>
      <c r="D270" s="311" t="s">
        <v>542</v>
      </c>
      <c r="F270" s="192"/>
      <c r="G270" s="192"/>
      <c r="H270" s="192"/>
      <c r="I270" s="193"/>
      <c r="J270" s="309"/>
      <c r="K270" s="316"/>
      <c r="L270" s="5"/>
      <c r="M270" s="5"/>
      <c r="N270" s="5"/>
      <c r="O270" s="5"/>
      <c r="P270" s="5"/>
      <c r="Q270" s="5"/>
      <c r="R270" s="317"/>
      <c r="S270" s="215"/>
      <c r="T270" s="216"/>
      <c r="U270" s="229"/>
      <c r="V270" s="48">
        <f t="shared" si="22"/>
        <v>270</v>
      </c>
      <c r="Y270" s="164"/>
      <c r="Z270" s="192"/>
      <c r="AA270" s="192"/>
    </row>
    <row r="271" spans="1:27" ht="20.100000000000001" customHeight="1" thickBot="1">
      <c r="A271" s="1004"/>
      <c r="B271" s="314"/>
      <c r="C271" s="315"/>
      <c r="D271" s="318"/>
      <c r="E271" s="1184" t="s">
        <v>543</v>
      </c>
      <c r="F271" s="1185"/>
      <c r="G271" s="1185"/>
      <c r="H271" s="1185"/>
      <c r="I271" s="1185"/>
      <c r="J271" s="1186"/>
      <c r="K271" s="316"/>
      <c r="L271" s="5"/>
      <c r="M271" s="5"/>
      <c r="N271" s="5"/>
      <c r="O271" s="5"/>
      <c r="P271" s="5"/>
      <c r="Q271" s="5"/>
      <c r="R271" s="335">
        <v>30</v>
      </c>
      <c r="S271" s="215" t="s">
        <v>494</v>
      </c>
      <c r="T271" s="216"/>
      <c r="U271" s="229"/>
      <c r="V271" s="48">
        <f t="shared" si="22"/>
        <v>271</v>
      </c>
      <c r="W271" s="199" t="str">
        <f t="shared" ref="W271:W272" si="35">IF(R271="","未入力あり","✔")</f>
        <v>✔</v>
      </c>
      <c r="Y271" s="164"/>
      <c r="Z271" s="242">
        <v>0</v>
      </c>
      <c r="AA271" s="239">
        <v>300</v>
      </c>
    </row>
    <row r="272" spans="1:27" ht="20.100000000000001" customHeight="1" thickBot="1">
      <c r="A272" s="1004"/>
      <c r="B272" s="314"/>
      <c r="C272" s="315"/>
      <c r="D272" s="318"/>
      <c r="E272" s="319" t="s">
        <v>544</v>
      </c>
      <c r="F272" s="215"/>
      <c r="G272" s="215"/>
      <c r="H272" s="215"/>
      <c r="I272" s="217"/>
      <c r="J272" s="320"/>
      <c r="K272" s="316"/>
      <c r="L272" s="5"/>
      <c r="M272" s="5"/>
      <c r="N272" s="5"/>
      <c r="O272" s="5"/>
      <c r="P272" s="5"/>
      <c r="Q272" s="5"/>
      <c r="R272" s="335">
        <v>4</v>
      </c>
      <c r="S272" s="215" t="s">
        <v>494</v>
      </c>
      <c r="T272" s="216"/>
      <c r="U272" s="229"/>
      <c r="V272" s="48">
        <f t="shared" si="22"/>
        <v>272</v>
      </c>
      <c r="W272" s="199" t="str">
        <f t="shared" si="35"/>
        <v>✔</v>
      </c>
      <c r="Y272" s="164"/>
      <c r="Z272" s="242">
        <v>0</v>
      </c>
      <c r="AA272" s="239">
        <v>300</v>
      </c>
    </row>
    <row r="273" spans="1:27" ht="20.100000000000001" customHeight="1" thickBot="1">
      <c r="A273" s="1004"/>
      <c r="B273" s="314"/>
      <c r="C273" s="315"/>
      <c r="D273" s="318"/>
      <c r="E273" s="319"/>
      <c r="F273" s="215" t="s">
        <v>545</v>
      </c>
      <c r="G273" s="215"/>
      <c r="H273" s="215"/>
      <c r="I273" s="217"/>
      <c r="J273" s="320"/>
      <c r="K273" s="316"/>
      <c r="L273" s="5"/>
      <c r="M273" s="5"/>
      <c r="N273" s="5"/>
      <c r="O273" s="5"/>
      <c r="P273" s="5"/>
      <c r="Q273" s="5"/>
      <c r="R273" s="335">
        <v>0</v>
      </c>
      <c r="S273" s="215" t="s">
        <v>494</v>
      </c>
      <c r="T273" s="216"/>
      <c r="U273" s="229"/>
      <c r="V273" s="48">
        <f t="shared" si="22"/>
        <v>273</v>
      </c>
      <c r="W273" s="199" t="str">
        <f t="shared" ref="W273" si="36">IF(R273="","未入力あり","✔")</f>
        <v>✔</v>
      </c>
      <c r="Y273" s="164"/>
      <c r="Z273" s="242">
        <v>0</v>
      </c>
      <c r="AA273" s="239">
        <v>100</v>
      </c>
    </row>
    <row r="274" spans="1:27" ht="20.100000000000001" customHeight="1">
      <c r="A274" s="1004"/>
      <c r="B274" s="327" t="s">
        <v>546</v>
      </c>
      <c r="C274" s="313"/>
      <c r="D274" s="282"/>
      <c r="E274" s="282"/>
      <c r="F274" s="282"/>
      <c r="G274" s="282"/>
      <c r="H274" s="283"/>
      <c r="I274" s="283"/>
      <c r="J274" s="312"/>
      <c r="K274" s="313"/>
      <c r="L274" s="284"/>
      <c r="M274" s="284"/>
      <c r="N274" s="284"/>
      <c r="O274" s="284"/>
      <c r="P274" s="284"/>
      <c r="Q274" s="284"/>
      <c r="R274" s="328"/>
      <c r="S274" s="282"/>
      <c r="T274" s="281"/>
      <c r="U274" s="329"/>
      <c r="V274" s="48">
        <f t="shared" si="22"/>
        <v>274</v>
      </c>
      <c r="Y274" s="164"/>
      <c r="Z274" s="192"/>
      <c r="AA274" s="192"/>
    </row>
    <row r="275" spans="1:27" ht="20.100000000000001" customHeight="1">
      <c r="A275" s="1004"/>
      <c r="B275" s="327" t="s">
        <v>547</v>
      </c>
      <c r="C275" s="313"/>
      <c r="D275" s="282"/>
      <c r="E275" s="282"/>
      <c r="F275" s="282"/>
      <c r="G275" s="282"/>
      <c r="H275" s="283"/>
      <c r="I275" s="283"/>
      <c r="J275" s="312"/>
      <c r="K275" s="316"/>
      <c r="L275" s="5"/>
      <c r="M275" s="5"/>
      <c r="N275" s="5"/>
      <c r="O275" s="5"/>
      <c r="P275" s="5"/>
      <c r="Q275" s="5"/>
      <c r="R275" s="330"/>
      <c r="S275" s="215"/>
      <c r="T275" s="216"/>
      <c r="U275" s="229"/>
      <c r="V275" s="48">
        <f t="shared" si="22"/>
        <v>275</v>
      </c>
      <c r="Y275" s="164"/>
      <c r="Z275" s="192"/>
      <c r="AA275" s="192"/>
    </row>
    <row r="276" spans="1:27" ht="20.100000000000001" customHeight="1" thickBot="1">
      <c r="A276" s="1004"/>
      <c r="B276" s="314"/>
      <c r="C276" s="311" t="s">
        <v>548</v>
      </c>
      <c r="D276" s="282"/>
      <c r="E276" s="282"/>
      <c r="F276" s="282"/>
      <c r="G276" s="282"/>
      <c r="H276" s="283"/>
      <c r="I276" s="283"/>
      <c r="J276" s="312"/>
      <c r="K276" s="316"/>
      <c r="L276" s="5"/>
      <c r="M276" s="5"/>
      <c r="N276" s="5"/>
      <c r="O276" s="5"/>
      <c r="P276" s="5"/>
      <c r="Q276" s="5"/>
      <c r="R276" s="331"/>
      <c r="S276" s="215"/>
      <c r="T276" s="216"/>
      <c r="U276" s="229"/>
      <c r="V276" s="48">
        <f t="shared" si="22"/>
        <v>276</v>
      </c>
      <c r="Y276" s="164"/>
      <c r="Z276" s="192"/>
      <c r="AA276" s="192"/>
    </row>
    <row r="277" spans="1:27" ht="20.100000000000001" customHeight="1" thickBot="1">
      <c r="A277" s="1004"/>
      <c r="B277" s="314"/>
      <c r="C277" s="326"/>
      <c r="D277" s="311" t="s">
        <v>549</v>
      </c>
      <c r="E277" s="282"/>
      <c r="F277" s="282"/>
      <c r="G277" s="282"/>
      <c r="H277" s="283"/>
      <c r="I277" s="283"/>
      <c r="J277" s="321"/>
      <c r="K277" s="316"/>
      <c r="L277" s="5"/>
      <c r="M277" s="5"/>
      <c r="N277" s="5"/>
      <c r="O277" s="5"/>
      <c r="P277" s="5"/>
      <c r="Q277" s="5"/>
      <c r="R277" s="335">
        <v>293</v>
      </c>
      <c r="S277" s="215" t="s">
        <v>422</v>
      </c>
      <c r="T277" s="216"/>
      <c r="U277" s="229"/>
      <c r="V277" s="48">
        <f t="shared" si="22"/>
        <v>277</v>
      </c>
      <c r="W277" s="199" t="str">
        <f t="shared" ref="W277:W283" si="37">IF(R277="","未入力あり","✔")</f>
        <v>✔</v>
      </c>
      <c r="Y277" s="164"/>
      <c r="Z277" s="242">
        <v>0</v>
      </c>
      <c r="AA277" s="242">
        <v>2400</v>
      </c>
    </row>
    <row r="278" spans="1:27" ht="20.100000000000001" customHeight="1" thickBot="1">
      <c r="A278" s="1004"/>
      <c r="B278" s="314"/>
      <c r="C278" s="326"/>
      <c r="D278" s="307"/>
      <c r="E278" s="319" t="s">
        <v>550</v>
      </c>
      <c r="F278" s="215"/>
      <c r="G278" s="215"/>
      <c r="H278" s="217"/>
      <c r="I278" s="217"/>
      <c r="J278" s="320"/>
      <c r="K278" s="316"/>
      <c r="L278" s="5"/>
      <c r="M278" s="5"/>
      <c r="N278" s="5"/>
      <c r="O278" s="5"/>
      <c r="P278" s="5"/>
      <c r="Q278" s="5"/>
      <c r="R278" s="335">
        <v>4</v>
      </c>
      <c r="S278" s="215" t="s">
        <v>422</v>
      </c>
      <c r="T278" s="216"/>
      <c r="U278" s="229"/>
      <c r="V278" s="48">
        <f t="shared" si="22"/>
        <v>278</v>
      </c>
      <c r="W278" s="199" t="str">
        <f t="shared" si="37"/>
        <v>✔</v>
      </c>
      <c r="Y278" s="164"/>
      <c r="Z278" s="242">
        <v>0</v>
      </c>
      <c r="AA278" s="242">
        <v>200</v>
      </c>
    </row>
    <row r="279" spans="1:27" ht="20.100000000000001" customHeight="1" thickBot="1">
      <c r="A279" s="1004"/>
      <c r="B279" s="314"/>
      <c r="C279" s="326"/>
      <c r="D279" s="307"/>
      <c r="E279" s="319" t="s">
        <v>551</v>
      </c>
      <c r="F279" s="215"/>
      <c r="G279" s="215"/>
      <c r="H279" s="217"/>
      <c r="I279" s="217"/>
      <c r="J279" s="320"/>
      <c r="K279" s="316"/>
      <c r="L279" s="5"/>
      <c r="M279" s="5"/>
      <c r="N279" s="5"/>
      <c r="O279" s="5"/>
      <c r="P279" s="5"/>
      <c r="Q279" s="5"/>
      <c r="R279" s="335">
        <v>9</v>
      </c>
      <c r="S279" s="215" t="s">
        <v>422</v>
      </c>
      <c r="T279" s="216"/>
      <c r="U279" s="229"/>
      <c r="V279" s="48">
        <f t="shared" si="22"/>
        <v>279</v>
      </c>
      <c r="W279" s="199" t="str">
        <f t="shared" si="37"/>
        <v>✔</v>
      </c>
      <c r="Y279" s="164"/>
      <c r="Z279" s="242">
        <v>0</v>
      </c>
      <c r="AA279" s="242">
        <v>150</v>
      </c>
    </row>
    <row r="280" spans="1:27" ht="20.100000000000001" customHeight="1" thickBot="1">
      <c r="A280" s="1004"/>
      <c r="B280" s="314"/>
      <c r="C280" s="326"/>
      <c r="D280" s="307"/>
      <c r="E280" s="319" t="s">
        <v>552</v>
      </c>
      <c r="F280" s="215"/>
      <c r="G280" s="215"/>
      <c r="H280" s="217"/>
      <c r="I280" s="217"/>
      <c r="J280" s="320"/>
      <c r="K280" s="316"/>
      <c r="L280" s="5"/>
      <c r="M280" s="5"/>
      <c r="N280" s="5"/>
      <c r="O280" s="5"/>
      <c r="P280" s="5"/>
      <c r="Q280" s="5"/>
      <c r="R280" s="335">
        <v>0</v>
      </c>
      <c r="S280" s="215" t="s">
        <v>422</v>
      </c>
      <c r="T280" s="216"/>
      <c r="U280" s="229"/>
      <c r="V280" s="48">
        <f t="shared" si="22"/>
        <v>280</v>
      </c>
      <c r="W280" s="199" t="str">
        <f t="shared" si="37"/>
        <v>✔</v>
      </c>
      <c r="Y280" s="164"/>
      <c r="Z280" s="242">
        <v>0</v>
      </c>
      <c r="AA280" s="242">
        <v>900</v>
      </c>
    </row>
    <row r="281" spans="1:27" ht="20.100000000000001" customHeight="1" thickBot="1">
      <c r="A281" s="1004"/>
      <c r="B281" s="314"/>
      <c r="C281" s="326"/>
      <c r="D281" s="332"/>
      <c r="E281" s="319" t="s">
        <v>553</v>
      </c>
      <c r="F281" s="215"/>
      <c r="G281" s="215"/>
      <c r="H281" s="217"/>
      <c r="I281" s="217"/>
      <c r="J281" s="320"/>
      <c r="K281" s="316"/>
      <c r="L281" s="5"/>
      <c r="M281" s="5"/>
      <c r="N281" s="5"/>
      <c r="O281" s="5"/>
      <c r="P281" s="5"/>
      <c r="Q281" s="5"/>
      <c r="R281" s="335">
        <v>0</v>
      </c>
      <c r="S281" s="215" t="s">
        <v>422</v>
      </c>
      <c r="T281" s="216"/>
      <c r="U281" s="229"/>
      <c r="V281" s="48">
        <f t="shared" si="22"/>
        <v>281</v>
      </c>
      <c r="W281" s="199" t="str">
        <f t="shared" si="37"/>
        <v>✔</v>
      </c>
      <c r="Y281" s="164"/>
      <c r="Z281" s="242">
        <v>0</v>
      </c>
      <c r="AA281" s="242">
        <v>200</v>
      </c>
    </row>
    <row r="282" spans="1:27" ht="20.100000000000001" customHeight="1" thickBot="1">
      <c r="A282" s="1004"/>
      <c r="B282" s="314"/>
      <c r="C282" s="326"/>
      <c r="D282" s="319" t="s">
        <v>554</v>
      </c>
      <c r="E282" s="215"/>
      <c r="F282" s="215"/>
      <c r="G282" s="215"/>
      <c r="H282" s="217"/>
      <c r="I282" s="217"/>
      <c r="J282" s="320"/>
      <c r="K282" s="316"/>
      <c r="L282" s="5"/>
      <c r="M282" s="5"/>
      <c r="N282" s="5"/>
      <c r="O282" s="5"/>
      <c r="P282" s="5"/>
      <c r="Q282" s="5"/>
      <c r="R282" s="335">
        <v>0</v>
      </c>
      <c r="S282" s="215" t="s">
        <v>422</v>
      </c>
      <c r="T282" s="216"/>
      <c r="U282" s="229"/>
      <c r="V282" s="48">
        <f t="shared" si="22"/>
        <v>282</v>
      </c>
      <c r="W282" s="199" t="str">
        <f t="shared" si="37"/>
        <v>✔</v>
      </c>
      <c r="Y282" s="164"/>
      <c r="Z282" s="242">
        <v>0</v>
      </c>
      <c r="AA282" s="242">
        <v>120</v>
      </c>
    </row>
    <row r="283" spans="1:27" ht="20.100000000000001" customHeight="1" thickBot="1">
      <c r="A283" s="1004"/>
      <c r="B283" s="314"/>
      <c r="C283" s="326"/>
      <c r="D283" s="319" t="s">
        <v>555</v>
      </c>
      <c r="E283" s="215"/>
      <c r="F283" s="215"/>
      <c r="G283" s="215"/>
      <c r="H283" s="217"/>
      <c r="I283" s="217"/>
      <c r="J283" s="320"/>
      <c r="K283" s="316"/>
      <c r="L283" s="5"/>
      <c r="M283" s="5"/>
      <c r="N283" s="5"/>
      <c r="O283" s="5"/>
      <c r="P283" s="5"/>
      <c r="Q283" s="5"/>
      <c r="R283" s="335">
        <v>6</v>
      </c>
      <c r="S283" s="215" t="s">
        <v>422</v>
      </c>
      <c r="T283" s="216"/>
      <c r="U283" s="229"/>
      <c r="V283" s="48">
        <f t="shared" si="22"/>
        <v>283</v>
      </c>
      <c r="W283" s="199" t="str">
        <f t="shared" si="37"/>
        <v>✔</v>
      </c>
      <c r="Y283" s="164"/>
      <c r="Z283" s="242">
        <v>0</v>
      </c>
      <c r="AA283" s="242">
        <v>90</v>
      </c>
    </row>
    <row r="284" spans="1:27" ht="20.100000000000001" customHeight="1">
      <c r="A284" s="1004"/>
      <c r="B284" s="314"/>
      <c r="C284" s="307" t="s">
        <v>556</v>
      </c>
      <c r="F284" s="192"/>
      <c r="H284" s="193"/>
      <c r="I284" s="309"/>
      <c r="J284" s="215"/>
      <c r="K284" s="5"/>
      <c r="L284" s="5"/>
      <c r="M284" s="5"/>
      <c r="N284" s="5"/>
      <c r="O284" s="5"/>
      <c r="P284" s="5"/>
      <c r="Q284" s="5"/>
      <c r="R284" s="333"/>
      <c r="S284" s="215"/>
      <c r="T284" s="216"/>
      <c r="U284" s="229"/>
      <c r="V284" s="48">
        <f t="shared" si="22"/>
        <v>284</v>
      </c>
      <c r="Y284" s="164"/>
      <c r="Z284" s="192"/>
      <c r="AA284" s="192"/>
    </row>
    <row r="285" spans="1:27" ht="20.100000000000001" customHeight="1" thickBot="1">
      <c r="A285" s="1004"/>
      <c r="B285" s="314"/>
      <c r="C285" s="307"/>
      <c r="D285" s="192" t="s">
        <v>557</v>
      </c>
      <c r="E285" s="202"/>
      <c r="F285" s="192"/>
      <c r="H285" s="193"/>
      <c r="I285" s="309"/>
      <c r="J285" s="316"/>
      <c r="K285" s="5"/>
      <c r="L285" s="5"/>
      <c r="M285" s="5"/>
      <c r="N285" s="5"/>
      <c r="O285" s="5"/>
      <c r="P285" s="5"/>
      <c r="Q285" s="5"/>
      <c r="R285" s="331"/>
      <c r="S285" s="215"/>
      <c r="T285" s="216"/>
      <c r="U285" s="229"/>
      <c r="V285" s="48">
        <f t="shared" si="22"/>
        <v>285</v>
      </c>
      <c r="Y285" s="164"/>
      <c r="Z285" s="192"/>
      <c r="AA285" s="192"/>
    </row>
    <row r="286" spans="1:27" ht="20.100000000000001" customHeight="1" thickBot="1">
      <c r="A286" s="1004"/>
      <c r="B286" s="314"/>
      <c r="C286" s="307"/>
      <c r="D286" s="319" t="s">
        <v>44</v>
      </c>
      <c r="E286" s="316"/>
      <c r="F286" s="215"/>
      <c r="G286" s="217"/>
      <c r="H286" s="217"/>
      <c r="I286" s="320"/>
      <c r="J286" s="316"/>
      <c r="K286" s="5"/>
      <c r="L286" s="5"/>
      <c r="M286" s="5"/>
      <c r="N286" s="5"/>
      <c r="O286" s="5"/>
      <c r="P286" s="5"/>
      <c r="Q286" s="5"/>
      <c r="R286" s="335">
        <v>40</v>
      </c>
      <c r="S286" s="215" t="s">
        <v>422</v>
      </c>
      <c r="T286" s="216"/>
      <c r="U286" s="229"/>
      <c r="V286" s="48">
        <f t="shared" si="22"/>
        <v>286</v>
      </c>
      <c r="W286" s="199" t="str">
        <f t="shared" ref="W286:W292" si="38">IF(R286="","未入力あり","✔")</f>
        <v>✔</v>
      </c>
      <c r="Y286" s="164"/>
      <c r="Z286" s="242">
        <v>0</v>
      </c>
      <c r="AA286" s="242">
        <v>400</v>
      </c>
    </row>
    <row r="287" spans="1:27" ht="20.100000000000001" customHeight="1" thickBot="1">
      <c r="A287" s="1004"/>
      <c r="B287" s="314"/>
      <c r="C287" s="307"/>
      <c r="D287" s="319" t="s">
        <v>45</v>
      </c>
      <c r="E287" s="316"/>
      <c r="F287" s="215"/>
      <c r="G287" s="217"/>
      <c r="H287" s="217"/>
      <c r="I287" s="320"/>
      <c r="J287" s="316"/>
      <c r="K287" s="5"/>
      <c r="L287" s="5"/>
      <c r="M287" s="5"/>
      <c r="N287" s="5"/>
      <c r="O287" s="5"/>
      <c r="P287" s="5"/>
      <c r="Q287" s="5"/>
      <c r="R287" s="335">
        <v>12</v>
      </c>
      <c r="S287" s="215" t="s">
        <v>422</v>
      </c>
      <c r="T287" s="216"/>
      <c r="U287" s="229"/>
      <c r="V287" s="48">
        <f t="shared" si="22"/>
        <v>287</v>
      </c>
      <c r="W287" s="199" t="str">
        <f t="shared" si="38"/>
        <v>✔</v>
      </c>
      <c r="Y287" s="164"/>
      <c r="Z287" s="242">
        <v>0</v>
      </c>
      <c r="AA287" s="242">
        <v>30</v>
      </c>
    </row>
    <row r="288" spans="1:27" ht="20.100000000000001" customHeight="1" thickBot="1">
      <c r="A288" s="1004"/>
      <c r="B288" s="314"/>
      <c r="C288" s="307"/>
      <c r="D288" s="319" t="s">
        <v>558</v>
      </c>
      <c r="E288" s="316"/>
      <c r="F288" s="215"/>
      <c r="G288" s="217"/>
      <c r="H288" s="217"/>
      <c r="I288" s="320"/>
      <c r="J288" s="316"/>
      <c r="K288" s="5"/>
      <c r="L288" s="5"/>
      <c r="M288" s="5"/>
      <c r="N288" s="5"/>
      <c r="O288" s="5"/>
      <c r="P288" s="5"/>
      <c r="Q288" s="5"/>
      <c r="R288" s="335">
        <v>3</v>
      </c>
      <c r="S288" s="215" t="s">
        <v>422</v>
      </c>
      <c r="T288" s="216"/>
      <c r="U288" s="229"/>
      <c r="V288" s="48">
        <f t="shared" si="22"/>
        <v>288</v>
      </c>
      <c r="W288" s="199" t="str">
        <f t="shared" si="38"/>
        <v>✔</v>
      </c>
      <c r="Y288" s="164"/>
      <c r="Z288" s="242">
        <v>0</v>
      </c>
      <c r="AA288" s="242">
        <v>50</v>
      </c>
    </row>
    <row r="289" spans="1:27" ht="20.100000000000001" customHeight="1" thickBot="1">
      <c r="A289" s="1004"/>
      <c r="B289" s="314"/>
      <c r="C289" s="307"/>
      <c r="D289" s="319" t="s">
        <v>43</v>
      </c>
      <c r="E289" s="316"/>
      <c r="F289" s="215"/>
      <c r="G289" s="217"/>
      <c r="H289" s="217"/>
      <c r="I289" s="320"/>
      <c r="J289" s="316"/>
      <c r="K289" s="5"/>
      <c r="L289" s="5"/>
      <c r="M289" s="5"/>
      <c r="N289" s="5"/>
      <c r="O289" s="5"/>
      <c r="P289" s="5"/>
      <c r="Q289" s="5"/>
      <c r="R289" s="335">
        <v>17</v>
      </c>
      <c r="S289" s="215" t="s">
        <v>422</v>
      </c>
      <c r="T289" s="216"/>
      <c r="U289" s="229"/>
      <c r="V289" s="48">
        <f t="shared" si="22"/>
        <v>289</v>
      </c>
      <c r="W289" s="199" t="str">
        <f t="shared" si="38"/>
        <v>✔</v>
      </c>
      <c r="Y289" s="164"/>
      <c r="Z289" s="242">
        <v>0</v>
      </c>
      <c r="AA289" s="242">
        <v>80</v>
      </c>
    </row>
    <row r="290" spans="1:27" ht="20.100000000000001" customHeight="1" thickBot="1">
      <c r="A290" s="1004"/>
      <c r="B290" s="314"/>
      <c r="C290" s="307"/>
      <c r="D290" s="319" t="s">
        <v>559</v>
      </c>
      <c r="E290" s="215"/>
      <c r="F290" s="215"/>
      <c r="G290" s="217"/>
      <c r="H290" s="217"/>
      <c r="I290" s="320"/>
      <c r="J290" s="316"/>
      <c r="K290" s="5"/>
      <c r="L290" s="5"/>
      <c r="M290" s="5"/>
      <c r="N290" s="5"/>
      <c r="O290" s="5"/>
      <c r="P290" s="5"/>
      <c r="Q290" s="5"/>
      <c r="R290" s="335">
        <v>1</v>
      </c>
      <c r="S290" s="215" t="s">
        <v>422</v>
      </c>
      <c r="T290" s="216"/>
      <c r="U290" s="229"/>
      <c r="V290" s="48">
        <f t="shared" ref="V290:V318" si="39">+ROW()</f>
        <v>290</v>
      </c>
      <c r="W290" s="199" t="str">
        <f t="shared" si="38"/>
        <v>✔</v>
      </c>
      <c r="Y290" s="164"/>
      <c r="Z290" s="242">
        <v>0</v>
      </c>
      <c r="AA290" s="239">
        <v>300</v>
      </c>
    </row>
    <row r="291" spans="1:27" ht="20.100000000000001" customHeight="1" thickBot="1">
      <c r="A291" s="1004"/>
      <c r="B291" s="314"/>
      <c r="C291" s="307"/>
      <c r="D291" s="319" t="s">
        <v>560</v>
      </c>
      <c r="E291" s="215"/>
      <c r="F291" s="215"/>
      <c r="G291" s="217"/>
      <c r="H291" s="217"/>
      <c r="I291" s="320"/>
      <c r="J291" s="316"/>
      <c r="K291" s="5"/>
      <c r="L291" s="5"/>
      <c r="M291" s="5"/>
      <c r="N291" s="5"/>
      <c r="O291" s="5"/>
      <c r="P291" s="5"/>
      <c r="Q291" s="5"/>
      <c r="R291" s="335">
        <v>10</v>
      </c>
      <c r="S291" s="215" t="s">
        <v>422</v>
      </c>
      <c r="T291" s="216"/>
      <c r="U291" s="229"/>
      <c r="V291" s="48">
        <f t="shared" si="39"/>
        <v>291</v>
      </c>
      <c r="W291" s="199" t="str">
        <f t="shared" ref="W291" si="40">IF(R291="","未入力あり","✔")</f>
        <v>✔</v>
      </c>
      <c r="Y291" s="164"/>
      <c r="Z291" s="242">
        <v>0</v>
      </c>
      <c r="AA291" s="239">
        <v>300</v>
      </c>
    </row>
    <row r="292" spans="1:27" ht="20.100000000000001" customHeight="1" thickBot="1">
      <c r="A292" s="1004"/>
      <c r="B292" s="314"/>
      <c r="C292" s="307"/>
      <c r="D292" s="319" t="s">
        <v>561</v>
      </c>
      <c r="E292" s="215"/>
      <c r="F292" s="215"/>
      <c r="G292" s="217"/>
      <c r="H292" s="217"/>
      <c r="I292" s="320"/>
      <c r="J292" s="316"/>
      <c r="K292" s="5"/>
      <c r="L292" s="5"/>
      <c r="M292" s="5"/>
      <c r="N292" s="5"/>
      <c r="O292" s="5"/>
      <c r="P292" s="5"/>
      <c r="Q292" s="5"/>
      <c r="R292" s="335">
        <v>122</v>
      </c>
      <c r="S292" s="215" t="s">
        <v>422</v>
      </c>
      <c r="T292" s="216"/>
      <c r="U292" s="229"/>
      <c r="V292" s="48">
        <f t="shared" si="39"/>
        <v>292</v>
      </c>
      <c r="W292" s="199" t="str">
        <f t="shared" si="38"/>
        <v>✔</v>
      </c>
      <c r="Y292" s="164"/>
      <c r="Z292" s="242">
        <v>0</v>
      </c>
      <c r="AA292" s="242">
        <v>700</v>
      </c>
    </row>
    <row r="293" spans="1:27" ht="20.100000000000001" customHeight="1" thickBot="1">
      <c r="A293" s="1004"/>
      <c r="B293" s="314"/>
      <c r="C293" s="307"/>
      <c r="D293" s="319" t="s">
        <v>46</v>
      </c>
      <c r="E293" s="215"/>
      <c r="F293" s="215"/>
      <c r="G293" s="217"/>
      <c r="H293" s="217"/>
      <c r="I293" s="320"/>
      <c r="J293" s="316"/>
      <c r="K293" s="5"/>
      <c r="L293" s="5"/>
      <c r="M293" s="5"/>
      <c r="N293" s="5"/>
      <c r="O293" s="5"/>
      <c r="P293" s="5"/>
      <c r="Q293" s="5"/>
      <c r="R293" s="335">
        <v>7</v>
      </c>
      <c r="S293" s="215" t="s">
        <v>422</v>
      </c>
      <c r="T293" s="216"/>
      <c r="U293" s="229"/>
      <c r="V293" s="48">
        <f t="shared" si="39"/>
        <v>293</v>
      </c>
      <c r="W293" s="199" t="str">
        <f t="shared" ref="W293" si="41">IF(R293="","未入力あり","✔")</f>
        <v>✔</v>
      </c>
      <c r="Y293" s="164"/>
      <c r="Z293" s="242">
        <v>0</v>
      </c>
      <c r="AA293" s="239">
        <v>300</v>
      </c>
    </row>
    <row r="294" spans="1:27" ht="20.100000000000001" customHeight="1" thickBot="1">
      <c r="A294" s="1004"/>
      <c r="B294" s="327" t="s">
        <v>562</v>
      </c>
      <c r="C294" s="202"/>
      <c r="D294" s="215"/>
      <c r="F294" s="202"/>
      <c r="G294" s="192"/>
      <c r="I294" s="193"/>
      <c r="J294" s="309"/>
      <c r="K294" s="316"/>
      <c r="L294" s="5"/>
      <c r="M294" s="5"/>
      <c r="N294" s="5"/>
      <c r="O294" s="5"/>
      <c r="P294" s="5"/>
      <c r="Q294" s="5"/>
      <c r="R294" s="325"/>
      <c r="S294" s="215"/>
      <c r="T294" s="216"/>
      <c r="U294" s="229"/>
      <c r="V294" s="48">
        <f t="shared" si="39"/>
        <v>294</v>
      </c>
      <c r="Y294" s="164"/>
      <c r="Z294" s="192"/>
      <c r="AA294" s="192"/>
    </row>
    <row r="295" spans="1:27" ht="20.100000000000001" customHeight="1" thickBot="1">
      <c r="A295" s="1004"/>
      <c r="B295" s="314"/>
      <c r="C295" s="319" t="s">
        <v>563</v>
      </c>
      <c r="D295" s="202"/>
      <c r="E295" s="215"/>
      <c r="F295" s="316"/>
      <c r="G295" s="215"/>
      <c r="H295" s="193"/>
      <c r="I295" s="217"/>
      <c r="J295" s="320"/>
      <c r="K295" s="316"/>
      <c r="L295" s="5"/>
      <c r="M295" s="5"/>
      <c r="N295" s="5"/>
      <c r="O295" s="5"/>
      <c r="P295" s="5"/>
      <c r="Q295" s="5"/>
      <c r="R295" s="335">
        <v>213</v>
      </c>
      <c r="S295" s="215" t="s">
        <v>422</v>
      </c>
      <c r="T295" s="216"/>
      <c r="U295" s="229"/>
      <c r="V295" s="48">
        <f t="shared" si="39"/>
        <v>295</v>
      </c>
      <c r="W295" s="199" t="str">
        <f t="shared" ref="W295:W297" si="42">IF(R295="","未入力あり","✔")</f>
        <v>✔</v>
      </c>
      <c r="Y295" s="164"/>
      <c r="Z295" s="242">
        <v>0</v>
      </c>
      <c r="AA295" s="242">
        <v>730</v>
      </c>
    </row>
    <row r="296" spans="1:27" ht="20.100000000000001" customHeight="1" thickBot="1">
      <c r="A296" s="1004"/>
      <c r="B296" s="314"/>
      <c r="C296" s="319" t="s">
        <v>564</v>
      </c>
      <c r="D296" s="316"/>
      <c r="E296" s="215"/>
      <c r="F296" s="316"/>
      <c r="G296" s="215"/>
      <c r="H296" s="217"/>
      <c r="I296" s="217"/>
      <c r="J296" s="320"/>
      <c r="K296" s="316"/>
      <c r="L296" s="5"/>
      <c r="M296" s="5"/>
      <c r="N296" s="5"/>
      <c r="O296" s="5"/>
      <c r="P296" s="5"/>
      <c r="Q296" s="5"/>
      <c r="R296" s="335">
        <v>41</v>
      </c>
      <c r="S296" s="215" t="s">
        <v>422</v>
      </c>
      <c r="T296" s="216"/>
      <c r="U296" s="229"/>
      <c r="V296" s="48">
        <f t="shared" si="39"/>
        <v>296</v>
      </c>
      <c r="W296" s="199" t="str">
        <f t="shared" si="42"/>
        <v>✔</v>
      </c>
      <c r="Y296" s="164"/>
      <c r="Z296" s="242">
        <v>0</v>
      </c>
      <c r="AA296" s="242">
        <v>510</v>
      </c>
    </row>
    <row r="297" spans="1:27" ht="20.100000000000001" customHeight="1" thickBot="1">
      <c r="A297" s="1004"/>
      <c r="B297" s="314"/>
      <c r="C297" s="326" t="s">
        <v>565</v>
      </c>
      <c r="D297" s="282"/>
      <c r="E297" s="282"/>
      <c r="F297" s="313"/>
      <c r="G297" s="282"/>
      <c r="H297" s="283"/>
      <c r="I297" s="283"/>
      <c r="J297" s="321"/>
      <c r="K297" s="316"/>
      <c r="L297" s="5"/>
      <c r="M297" s="5"/>
      <c r="N297" s="5"/>
      <c r="O297" s="5"/>
      <c r="P297" s="5"/>
      <c r="Q297" s="5"/>
      <c r="R297" s="335">
        <v>6</v>
      </c>
      <c r="S297" s="215" t="s">
        <v>422</v>
      </c>
      <c r="T297" s="216"/>
      <c r="U297" s="229"/>
      <c r="V297" s="48">
        <f t="shared" si="39"/>
        <v>297</v>
      </c>
      <c r="W297" s="199" t="str">
        <f t="shared" si="42"/>
        <v>✔</v>
      </c>
      <c r="Y297" s="164"/>
      <c r="Z297" s="242">
        <v>0</v>
      </c>
      <c r="AA297" s="242">
        <v>400</v>
      </c>
    </row>
    <row r="298" spans="1:27" ht="20.100000000000001" customHeight="1" thickBot="1">
      <c r="A298" s="1002"/>
      <c r="B298" s="311" t="s">
        <v>566</v>
      </c>
      <c r="C298" s="282"/>
      <c r="D298" s="282"/>
      <c r="E298" s="282"/>
      <c r="F298" s="281"/>
      <c r="G298" s="283"/>
      <c r="H298" s="274"/>
      <c r="I298" s="243"/>
      <c r="J298" s="284"/>
      <c r="L298" s="5"/>
      <c r="M298" s="5"/>
      <c r="N298" s="5"/>
      <c r="O298" s="5"/>
      <c r="P298" s="5"/>
      <c r="Q298" s="5"/>
      <c r="S298" s="5"/>
      <c r="T298" s="216"/>
      <c r="U298" s="229"/>
      <c r="V298" s="48">
        <f t="shared" si="39"/>
        <v>298</v>
      </c>
      <c r="Y298" s="164"/>
      <c r="Z298" s="192"/>
      <c r="AA298" s="192"/>
    </row>
    <row r="299" spans="1:27" ht="20.100000000000001" customHeight="1" thickBot="1">
      <c r="A299" s="1002"/>
      <c r="B299" s="307"/>
      <c r="C299" s="319" t="s">
        <v>567</v>
      </c>
      <c r="D299" s="215"/>
      <c r="E299" s="215"/>
      <c r="F299" s="216"/>
      <c r="G299" s="217"/>
      <c r="H299" s="230"/>
      <c r="I299" s="235"/>
      <c r="J299" s="5"/>
      <c r="L299" s="5"/>
      <c r="M299" s="5"/>
      <c r="N299" s="5"/>
      <c r="O299" s="5"/>
      <c r="P299" s="5"/>
      <c r="Q299" s="5"/>
      <c r="R299" s="335">
        <v>0</v>
      </c>
      <c r="S299" s="215" t="s">
        <v>422</v>
      </c>
      <c r="T299" s="216"/>
      <c r="U299" s="229"/>
      <c r="V299" s="48">
        <f t="shared" si="39"/>
        <v>299</v>
      </c>
      <c r="W299" s="199" t="str">
        <f t="shared" ref="W299:W302" si="43">IF(R299="","未入力あり","✔")</f>
        <v>✔</v>
      </c>
      <c r="Y299" s="164"/>
      <c r="Z299" s="242">
        <v>0</v>
      </c>
      <c r="AA299" s="239">
        <v>100</v>
      </c>
    </row>
    <row r="300" spans="1:27" ht="20.100000000000001" customHeight="1" thickBot="1">
      <c r="A300" s="1002"/>
      <c r="B300" s="307"/>
      <c r="C300" s="319" t="s">
        <v>568</v>
      </c>
      <c r="D300" s="215"/>
      <c r="E300" s="215"/>
      <c r="F300" s="216"/>
      <c r="G300" s="217"/>
      <c r="H300" s="230"/>
      <c r="I300" s="235"/>
      <c r="J300" s="5"/>
      <c r="L300" s="5"/>
      <c r="M300" s="5"/>
      <c r="N300" s="5"/>
      <c r="O300" s="5"/>
      <c r="P300" s="5"/>
      <c r="Q300" s="5"/>
      <c r="R300" s="335">
        <v>0</v>
      </c>
      <c r="S300" s="215" t="s">
        <v>422</v>
      </c>
      <c r="T300" s="216"/>
      <c r="U300" s="229"/>
      <c r="V300" s="48">
        <f t="shared" si="39"/>
        <v>300</v>
      </c>
      <c r="W300" s="199" t="str">
        <f t="shared" ref="W300" si="44">IF(R300="","未入力あり","✔")</f>
        <v>✔</v>
      </c>
      <c r="Y300" s="164"/>
      <c r="Z300" s="242">
        <v>0</v>
      </c>
      <c r="AA300" s="239">
        <v>100</v>
      </c>
    </row>
    <row r="301" spans="1:27" ht="20.100000000000001" customHeight="1" thickBot="1">
      <c r="A301" s="1002"/>
      <c r="B301" s="307"/>
      <c r="C301" s="319" t="s">
        <v>569</v>
      </c>
      <c r="D301" s="215"/>
      <c r="E301" s="215"/>
      <c r="F301" s="216"/>
      <c r="G301" s="217"/>
      <c r="H301" s="230"/>
      <c r="I301" s="235"/>
      <c r="J301" s="5"/>
      <c r="L301" s="5"/>
      <c r="M301" s="5"/>
      <c r="N301" s="5"/>
      <c r="O301" s="5"/>
      <c r="P301" s="5"/>
      <c r="Q301" s="5"/>
      <c r="R301" s="335">
        <v>0</v>
      </c>
      <c r="S301" s="215" t="s">
        <v>422</v>
      </c>
      <c r="T301" s="216"/>
      <c r="U301" s="229"/>
      <c r="V301" s="48">
        <f t="shared" si="39"/>
        <v>301</v>
      </c>
      <c r="W301" s="199" t="str">
        <f t="shared" si="43"/>
        <v>✔</v>
      </c>
      <c r="Y301" s="164"/>
      <c r="Z301" s="242">
        <v>0</v>
      </c>
      <c r="AA301" s="239">
        <v>100</v>
      </c>
    </row>
    <row r="302" spans="1:27" ht="20.100000000000001" customHeight="1" thickBot="1">
      <c r="A302" s="1002"/>
      <c r="B302" s="307"/>
      <c r="C302" s="319" t="s">
        <v>570</v>
      </c>
      <c r="D302" s="282"/>
      <c r="E302" s="282"/>
      <c r="F302" s="281"/>
      <c r="G302" s="283"/>
      <c r="H302" s="274"/>
      <c r="I302" s="243"/>
      <c r="J302" s="284"/>
      <c r="L302" s="284"/>
      <c r="M302" s="284"/>
      <c r="N302" s="284"/>
      <c r="O302" s="284"/>
      <c r="P302" s="284"/>
      <c r="Q302" s="284"/>
      <c r="R302" s="335">
        <v>0</v>
      </c>
      <c r="S302" s="282" t="s">
        <v>422</v>
      </c>
      <c r="T302" s="281"/>
      <c r="U302" s="329"/>
      <c r="V302" s="48">
        <f t="shared" si="39"/>
        <v>302</v>
      </c>
      <c r="W302" s="199" t="str">
        <f t="shared" si="43"/>
        <v>✔</v>
      </c>
      <c r="Y302" s="164"/>
      <c r="Z302" s="242">
        <v>0</v>
      </c>
      <c r="AA302" s="239">
        <v>100</v>
      </c>
    </row>
    <row r="303" spans="1:27" ht="20.100000000000001" customHeight="1" thickBot="1">
      <c r="A303" s="1002"/>
      <c r="B303" s="307"/>
      <c r="C303" s="319" t="s">
        <v>571</v>
      </c>
      <c r="D303" s="282"/>
      <c r="E303" s="282"/>
      <c r="F303" s="281"/>
      <c r="G303" s="283"/>
      <c r="H303" s="274"/>
      <c r="I303" s="243"/>
      <c r="J303" s="284"/>
      <c r="L303" s="284"/>
      <c r="M303" s="284"/>
      <c r="N303" s="284"/>
      <c r="O303" s="284"/>
      <c r="P303" s="284"/>
      <c r="Q303" s="284"/>
      <c r="R303" s="335">
        <v>0</v>
      </c>
      <c r="S303" s="282" t="s">
        <v>422</v>
      </c>
      <c r="T303" s="281"/>
      <c r="U303" s="329"/>
      <c r="V303" s="48">
        <f t="shared" si="39"/>
        <v>303</v>
      </c>
      <c r="W303" s="199" t="str">
        <f t="shared" ref="W303" si="45">IF(R303="","未入力あり","✔")</f>
        <v>✔</v>
      </c>
      <c r="Y303" s="164"/>
      <c r="Z303" s="242">
        <v>0</v>
      </c>
      <c r="AA303" s="239">
        <v>100</v>
      </c>
    </row>
    <row r="304" spans="1:27" ht="20.100000000000001" customHeight="1" thickBot="1">
      <c r="A304" s="1002"/>
      <c r="B304" s="319"/>
      <c r="C304" s="215"/>
      <c r="D304" s="215"/>
      <c r="E304" s="215"/>
      <c r="F304" s="216"/>
      <c r="G304" s="217"/>
      <c r="H304" s="230"/>
      <c r="I304" s="235"/>
      <c r="J304" s="284"/>
      <c r="L304" s="284"/>
      <c r="M304" s="284"/>
      <c r="N304" s="284"/>
      <c r="O304" s="284"/>
      <c r="P304" s="284"/>
      <c r="Q304" s="284"/>
      <c r="R304" s="284"/>
      <c r="S304" s="284"/>
      <c r="T304" s="281"/>
      <c r="U304" s="329"/>
      <c r="V304" s="48">
        <f t="shared" si="39"/>
        <v>304</v>
      </c>
      <c r="Y304" s="164"/>
      <c r="Z304" s="192"/>
      <c r="AA304" s="192"/>
    </row>
    <row r="305" spans="1:27" ht="20.100000000000001" customHeight="1" thickBot="1">
      <c r="A305" s="1002"/>
      <c r="B305" s="319" t="s">
        <v>572</v>
      </c>
      <c r="C305" s="215"/>
      <c r="D305" s="215"/>
      <c r="E305" s="215"/>
      <c r="F305" s="216"/>
      <c r="G305" s="217"/>
      <c r="H305" s="230"/>
      <c r="I305" s="235"/>
      <c r="J305" s="284"/>
      <c r="L305" s="284"/>
      <c r="M305" s="284"/>
      <c r="N305" s="284"/>
      <c r="O305" s="284"/>
      <c r="P305" s="284"/>
      <c r="Q305" s="284"/>
      <c r="R305" s="73" t="s">
        <v>1936</v>
      </c>
      <c r="S305" s="1182" t="s">
        <v>573</v>
      </c>
      <c r="T305" s="1183"/>
      <c r="U305" s="329"/>
      <c r="V305" s="48">
        <f t="shared" si="39"/>
        <v>305</v>
      </c>
      <c r="W305" s="199" t="str">
        <f>IF(R305="","未入力あり","✔")</f>
        <v>✔</v>
      </c>
      <c r="Y305" s="164"/>
      <c r="Z305" s="192"/>
      <c r="AA305" s="192"/>
    </row>
    <row r="306" spans="1:27" ht="20.100000000000001" customHeight="1" thickBot="1">
      <c r="A306" s="1002"/>
      <c r="B306" s="319" t="s">
        <v>574</v>
      </c>
      <c r="C306" s="215"/>
      <c r="D306" s="215"/>
      <c r="E306" s="215"/>
      <c r="F306" s="216"/>
      <c r="G306" s="217"/>
      <c r="H306" s="230"/>
      <c r="I306" s="235"/>
      <c r="J306" s="284"/>
      <c r="L306" s="284"/>
      <c r="M306" s="284"/>
      <c r="N306" s="284"/>
      <c r="O306" s="284"/>
      <c r="P306" s="284"/>
      <c r="Q306" s="284"/>
      <c r="R306" s="73" t="s">
        <v>1934</v>
      </c>
      <c r="S306" s="1182" t="s">
        <v>573</v>
      </c>
      <c r="T306" s="1183"/>
      <c r="U306" s="329"/>
      <c r="V306" s="48">
        <f t="shared" si="39"/>
        <v>306</v>
      </c>
      <c r="W306" s="199" t="str">
        <f t="shared" ref="W306" si="46">IF(R306="","未入力あり","✔")</f>
        <v>✔</v>
      </c>
      <c r="Y306" s="164"/>
      <c r="Z306" s="192"/>
      <c r="AA306" s="192"/>
    </row>
    <row r="307" spans="1:27" ht="20.100000000000001" customHeight="1" thickBot="1">
      <c r="A307" s="1002"/>
      <c r="B307" s="319" t="s">
        <v>575</v>
      </c>
      <c r="C307" s="215"/>
      <c r="D307" s="215"/>
      <c r="E307" s="215"/>
      <c r="F307" s="216"/>
      <c r="G307" s="217"/>
      <c r="H307" s="230"/>
      <c r="I307" s="235"/>
      <c r="J307" s="284"/>
      <c r="L307" s="284"/>
      <c r="M307" s="284"/>
      <c r="N307" s="284"/>
      <c r="O307" s="284"/>
      <c r="P307" s="284"/>
      <c r="Q307" s="284"/>
      <c r="R307" s="73" t="s">
        <v>1934</v>
      </c>
      <c r="S307" s="1182" t="s">
        <v>573</v>
      </c>
      <c r="T307" s="1183"/>
      <c r="U307" s="329"/>
      <c r="V307" s="48">
        <f t="shared" si="39"/>
        <v>307</v>
      </c>
      <c r="W307" s="199" t="str">
        <f>IF(R307="","未入力あり","✔")</f>
        <v>✔</v>
      </c>
      <c r="Y307" s="164"/>
      <c r="Z307" s="192"/>
      <c r="AA307" s="192"/>
    </row>
    <row r="308" spans="1:27" ht="20.100000000000001" customHeight="1">
      <c r="A308" s="214"/>
      <c r="B308" s="319"/>
      <c r="C308" s="215"/>
      <c r="D308" s="215"/>
      <c r="E308" s="215"/>
      <c r="F308" s="216"/>
      <c r="G308" s="217"/>
      <c r="H308" s="230"/>
      <c r="I308" s="235"/>
      <c r="J308" s="5"/>
      <c r="K308" s="5"/>
      <c r="L308" s="5"/>
      <c r="M308" s="5"/>
      <c r="N308" s="5"/>
      <c r="O308" s="5"/>
      <c r="P308" s="5"/>
      <c r="Q308" s="5"/>
      <c r="R308" s="265"/>
      <c r="S308" s="5"/>
      <c r="T308" s="216"/>
      <c r="U308" s="229"/>
      <c r="V308" s="48">
        <f t="shared" si="39"/>
        <v>308</v>
      </c>
      <c r="Y308" s="164"/>
      <c r="Z308" s="192"/>
      <c r="AA308" s="192"/>
    </row>
    <row r="309" spans="1:27" ht="20.100000000000001" customHeight="1" thickBot="1">
      <c r="A309" s="334" t="s">
        <v>576</v>
      </c>
      <c r="B309" s="215"/>
      <c r="C309" s="215"/>
      <c r="D309" s="215"/>
      <c r="E309" s="215"/>
      <c r="F309" s="216"/>
      <c r="G309" s="217"/>
      <c r="H309" s="230"/>
      <c r="I309" s="235"/>
      <c r="J309" s="5"/>
      <c r="K309" s="5"/>
      <c r="L309" s="5"/>
      <c r="M309" s="5"/>
      <c r="N309" s="5"/>
      <c r="O309" s="5"/>
      <c r="P309" s="5"/>
      <c r="Q309" s="5"/>
      <c r="R309" s="243"/>
      <c r="S309" s="5"/>
      <c r="T309" s="216"/>
      <c r="U309" s="229"/>
      <c r="V309" s="48">
        <f t="shared" si="39"/>
        <v>309</v>
      </c>
      <c r="Y309" s="164"/>
      <c r="Z309" s="192"/>
      <c r="AA309" s="192"/>
    </row>
    <row r="310" spans="1:27" ht="20.100000000000001" customHeight="1" thickBot="1">
      <c r="A310" s="214"/>
      <c r="B310" s="215" t="s">
        <v>577</v>
      </c>
      <c r="C310" s="215"/>
      <c r="D310" s="215"/>
      <c r="E310" s="215"/>
      <c r="F310" s="216"/>
      <c r="G310" s="217"/>
      <c r="H310" s="230"/>
      <c r="I310" s="235"/>
      <c r="J310" s="5"/>
      <c r="K310" s="5"/>
      <c r="L310" s="5"/>
      <c r="M310" s="5"/>
      <c r="N310" s="5"/>
      <c r="O310" s="5"/>
      <c r="P310" s="5"/>
      <c r="Q310" s="5"/>
      <c r="R310" s="73" t="s">
        <v>1936</v>
      </c>
      <c r="S310" s="1182" t="s">
        <v>573</v>
      </c>
      <c r="T310" s="1183"/>
      <c r="U310" s="229"/>
      <c r="V310" s="48">
        <f t="shared" si="39"/>
        <v>310</v>
      </c>
      <c r="W310" s="199" t="str">
        <f t="shared" ref="W310:W313" si="47">IF(R310="","未入力あり","✔")</f>
        <v>✔</v>
      </c>
      <c r="Y310" s="164"/>
      <c r="Z310" s="192"/>
      <c r="AA310" s="192"/>
    </row>
    <row r="311" spans="1:27" ht="20.100000000000001" customHeight="1" thickBot="1">
      <c r="A311" s="214"/>
      <c r="B311" s="215"/>
      <c r="C311" s="215" t="s">
        <v>578</v>
      </c>
      <c r="D311" s="215"/>
      <c r="E311" s="215"/>
      <c r="F311" s="216"/>
      <c r="G311" s="217"/>
      <c r="H311" s="230"/>
      <c r="I311" s="235"/>
      <c r="J311" s="5"/>
      <c r="K311" s="5"/>
      <c r="L311" s="5"/>
      <c r="M311" s="5"/>
      <c r="N311" s="5"/>
      <c r="O311" s="5"/>
      <c r="P311" s="5"/>
      <c r="Q311" s="5"/>
      <c r="R311" s="73" t="s">
        <v>1934</v>
      </c>
      <c r="S311" s="1182" t="s">
        <v>573</v>
      </c>
      <c r="T311" s="1183"/>
      <c r="U311" s="229"/>
      <c r="V311" s="48">
        <f t="shared" si="39"/>
        <v>311</v>
      </c>
      <c r="W311" s="199" t="str">
        <f t="shared" si="47"/>
        <v>✔</v>
      </c>
      <c r="Y311" s="164"/>
      <c r="Z311" s="192"/>
      <c r="AA311" s="192"/>
    </row>
    <row r="312" spans="1:27" ht="20.100000000000001" customHeight="1" thickBot="1">
      <c r="A312" s="214"/>
      <c r="B312" s="215"/>
      <c r="C312" s="215" t="s">
        <v>579</v>
      </c>
      <c r="D312" s="215"/>
      <c r="E312" s="215"/>
      <c r="F312" s="216"/>
      <c r="G312" s="217"/>
      <c r="H312" s="230"/>
      <c r="I312" s="235"/>
      <c r="J312" s="5"/>
      <c r="K312" s="5"/>
      <c r="L312" s="5"/>
      <c r="M312" s="5"/>
      <c r="N312" s="5"/>
      <c r="O312" s="5"/>
      <c r="P312" s="5"/>
      <c r="Q312" s="5"/>
      <c r="R312" s="73" t="s">
        <v>1934</v>
      </c>
      <c r="S312" s="1182" t="s">
        <v>573</v>
      </c>
      <c r="T312" s="1183"/>
      <c r="U312" s="229"/>
      <c r="V312" s="48">
        <f t="shared" si="39"/>
        <v>312</v>
      </c>
      <c r="W312" s="199" t="str">
        <f t="shared" si="47"/>
        <v>✔</v>
      </c>
      <c r="Y312" s="164"/>
      <c r="Z312" s="192"/>
      <c r="AA312" s="192"/>
    </row>
    <row r="313" spans="1:27" ht="20.100000000000001" customHeight="1" thickBot="1">
      <c r="A313" s="214"/>
      <c r="B313" s="215"/>
      <c r="C313" s="215"/>
      <c r="D313" s="215" t="s">
        <v>580</v>
      </c>
      <c r="E313" s="215"/>
      <c r="F313" s="216"/>
      <c r="G313" s="217"/>
      <c r="H313" s="230"/>
      <c r="I313" s="235"/>
      <c r="J313" s="5"/>
      <c r="K313" s="5"/>
      <c r="L313" s="5"/>
      <c r="M313" s="5"/>
      <c r="N313" s="5"/>
      <c r="O313" s="5"/>
      <c r="P313" s="5"/>
      <c r="Q313" s="5"/>
      <c r="R313" s="335">
        <v>0</v>
      </c>
      <c r="S313" s="215" t="s">
        <v>581</v>
      </c>
      <c r="T313" s="216"/>
      <c r="U313" s="229"/>
      <c r="V313" s="48">
        <f t="shared" si="39"/>
        <v>313</v>
      </c>
      <c r="W313" s="199" t="str">
        <f t="shared" si="47"/>
        <v>✔</v>
      </c>
      <c r="Y313" s="164"/>
      <c r="Z313" s="242">
        <v>0</v>
      </c>
      <c r="AA313" s="239">
        <v>120</v>
      </c>
    </row>
    <row r="314" spans="1:27" ht="20.100000000000001" customHeight="1">
      <c r="A314" s="214"/>
      <c r="B314" s="215"/>
      <c r="C314" s="215"/>
      <c r="D314" s="215"/>
      <c r="E314" s="215"/>
      <c r="F314" s="216"/>
      <c r="G314" s="217"/>
      <c r="H314" s="230"/>
      <c r="I314" s="235"/>
      <c r="J314" s="5"/>
      <c r="K314" s="5"/>
      <c r="L314" s="5"/>
      <c r="M314" s="5"/>
      <c r="N314" s="5"/>
      <c r="O314" s="5"/>
      <c r="P314" s="5"/>
      <c r="Q314" s="5"/>
      <c r="R314" s="265"/>
      <c r="S314" s="5"/>
      <c r="T314" s="216"/>
      <c r="U314" s="229"/>
      <c r="V314" s="48">
        <f t="shared" si="39"/>
        <v>314</v>
      </c>
      <c r="Y314" s="164"/>
      <c r="Z314" s="192"/>
      <c r="AA314" s="192"/>
    </row>
    <row r="315" spans="1:27" ht="20.100000000000001" customHeight="1" thickBot="1">
      <c r="A315" s="214" t="s">
        <v>582</v>
      </c>
      <c r="B315" s="215"/>
      <c r="C315" s="215"/>
      <c r="D315" s="215"/>
      <c r="E315" s="215"/>
      <c r="F315" s="216"/>
      <c r="G315" s="217"/>
      <c r="H315" s="230"/>
      <c r="I315" s="235"/>
      <c r="J315" s="5"/>
      <c r="K315" s="5"/>
      <c r="L315" s="5"/>
      <c r="M315" s="5"/>
      <c r="N315" s="5"/>
      <c r="O315" s="5"/>
      <c r="P315" s="5"/>
      <c r="Q315" s="5"/>
      <c r="R315" s="243"/>
      <c r="S315" s="5"/>
      <c r="T315" s="216"/>
      <c r="U315" s="229"/>
      <c r="V315" s="48">
        <f t="shared" si="39"/>
        <v>315</v>
      </c>
      <c r="Y315" s="164"/>
      <c r="Z315" s="192"/>
      <c r="AA315" s="192"/>
    </row>
    <row r="316" spans="1:27" ht="20.100000000000001" customHeight="1" thickBot="1">
      <c r="A316" s="214"/>
      <c r="B316" s="215" t="s">
        <v>583</v>
      </c>
      <c r="C316" s="215"/>
      <c r="D316" s="215"/>
      <c r="E316" s="215"/>
      <c r="F316" s="216"/>
      <c r="G316" s="217"/>
      <c r="H316" s="230"/>
      <c r="I316" s="235"/>
      <c r="J316" s="5"/>
      <c r="K316" s="5"/>
      <c r="L316" s="5"/>
      <c r="M316" s="5"/>
      <c r="N316" s="5"/>
      <c r="O316" s="5"/>
      <c r="P316" s="5"/>
      <c r="Q316" s="5"/>
      <c r="R316" s="73" t="s">
        <v>1936</v>
      </c>
      <c r="S316" s="1182" t="s">
        <v>573</v>
      </c>
      <c r="T316" s="1183"/>
      <c r="U316" s="229"/>
      <c r="V316" s="48">
        <f t="shared" si="39"/>
        <v>316</v>
      </c>
      <c r="W316" s="199" t="str">
        <f t="shared" ref="W316:W317" si="48">IF(R316="","未入力あり","✔")</f>
        <v>✔</v>
      </c>
      <c r="Y316" s="164"/>
      <c r="Z316" s="192"/>
      <c r="AA316" s="192"/>
    </row>
    <row r="317" spans="1:27" ht="20.100000000000001" customHeight="1" thickBot="1">
      <c r="A317" s="214"/>
      <c r="B317" s="215" t="s">
        <v>584</v>
      </c>
      <c r="C317" s="215"/>
      <c r="D317" s="215"/>
      <c r="E317" s="215"/>
      <c r="F317" s="216"/>
      <c r="G317" s="217"/>
      <c r="H317" s="230"/>
      <c r="I317" s="235"/>
      <c r="J317" s="5"/>
      <c r="K317" s="5"/>
      <c r="L317" s="5"/>
      <c r="M317" s="5"/>
      <c r="N317" s="5"/>
      <c r="O317" s="5"/>
      <c r="P317" s="5"/>
      <c r="Q317" s="5"/>
      <c r="R317" s="73" t="s">
        <v>1934</v>
      </c>
      <c r="S317" s="1182" t="s">
        <v>573</v>
      </c>
      <c r="T317" s="1183"/>
      <c r="U317" s="229"/>
      <c r="V317" s="48">
        <f t="shared" si="39"/>
        <v>317</v>
      </c>
      <c r="W317" s="199" t="str">
        <f t="shared" si="48"/>
        <v>✔</v>
      </c>
      <c r="Y317" s="164"/>
      <c r="Z317" s="192"/>
      <c r="AA317" s="192"/>
    </row>
    <row r="318" spans="1:27" ht="20.100000000000001" customHeight="1">
      <c r="A318" s="214" t="s">
        <v>585</v>
      </c>
      <c r="B318" s="215"/>
      <c r="C318" s="215"/>
      <c r="D318" s="215"/>
      <c r="E318" s="215"/>
      <c r="F318" s="216"/>
      <c r="G318" s="217"/>
      <c r="H318" s="230"/>
      <c r="I318" s="235"/>
      <c r="J318" s="5"/>
      <c r="K318" s="5"/>
      <c r="L318" s="5"/>
      <c r="M318" s="5"/>
      <c r="N318" s="5"/>
      <c r="O318" s="5"/>
      <c r="P318" s="5"/>
      <c r="Q318" s="5"/>
      <c r="R318" s="265"/>
      <c r="S318" s="5"/>
      <c r="T318" s="216"/>
      <c r="U318" s="229"/>
      <c r="V318" s="48">
        <f t="shared" si="39"/>
        <v>318</v>
      </c>
      <c r="Y318" s="164"/>
      <c r="Z318" s="192"/>
      <c r="AA318" s="192"/>
    </row>
    <row r="319" spans="1:27" ht="20.100000000000001" customHeight="1">
      <c r="Z319" s="192"/>
      <c r="AA319" s="192"/>
    </row>
    <row r="320" spans="1:27" ht="20.100000000000001" customHeight="1">
      <c r="Z320" s="192"/>
      <c r="AA320" s="192"/>
    </row>
    <row r="321" spans="26:27" ht="20.100000000000001" customHeight="1">
      <c r="Z321" s="192"/>
      <c r="AA321" s="192"/>
    </row>
    <row r="322" spans="26:27" ht="20.100000000000001" customHeight="1">
      <c r="Z322" s="192"/>
      <c r="AA322" s="192"/>
    </row>
    <row r="323" spans="26:27" ht="20.100000000000001" customHeight="1">
      <c r="Z323" s="192"/>
      <c r="AA323" s="192"/>
    </row>
    <row r="324" spans="26:27" ht="20.100000000000001" customHeight="1">
      <c r="Z324" s="192"/>
      <c r="AA324" s="192"/>
    </row>
    <row r="325" spans="26:27" ht="20.100000000000001" customHeight="1">
      <c r="Z325" s="192"/>
      <c r="AA325" s="192"/>
    </row>
    <row r="326" spans="26:27" ht="20.100000000000001" customHeight="1">
      <c r="Z326" s="192"/>
      <c r="AA326" s="192"/>
    </row>
    <row r="327" spans="26:27" ht="20.100000000000001" customHeight="1">
      <c r="Z327" s="192"/>
      <c r="AA327" s="192"/>
    </row>
    <row r="328" spans="26:27" ht="20.100000000000001" customHeight="1">
      <c r="Z328" s="192"/>
      <c r="AA328" s="192"/>
    </row>
    <row r="329" spans="26:27" ht="20.100000000000001" customHeight="1">
      <c r="Z329" s="192"/>
      <c r="AA329" s="192"/>
    </row>
    <row r="330" spans="26:27" ht="20.100000000000001" customHeight="1">
      <c r="Z330" s="192"/>
      <c r="AA330" s="192"/>
    </row>
    <row r="331" spans="26:27" ht="20.100000000000001" customHeight="1">
      <c r="Z331" s="192"/>
      <c r="AA331" s="192"/>
    </row>
    <row r="332" spans="26:27" ht="20.100000000000001" customHeight="1">
      <c r="Z332" s="192"/>
      <c r="AA332" s="192"/>
    </row>
    <row r="333" spans="26:27" ht="20.100000000000001" customHeight="1">
      <c r="Z333" s="192"/>
      <c r="AA333" s="192"/>
    </row>
    <row r="334" spans="26:27" ht="20.100000000000001" customHeight="1">
      <c r="Z334" s="192"/>
      <c r="AA334" s="192"/>
    </row>
    <row r="335" spans="26:27" ht="20.100000000000001" customHeight="1">
      <c r="Z335" s="192"/>
      <c r="AA335" s="192"/>
    </row>
  </sheetData>
  <sheetProtection selectLockedCells="1"/>
  <protectedRanges>
    <protectedRange sqref="R227 R229" name="範囲3"/>
    <protectedRange sqref="R227 R229" name="範囲2"/>
  </protectedRanges>
  <mergeCells count="39">
    <mergeCell ref="C227:P227"/>
    <mergeCell ref="C229:P229"/>
    <mergeCell ref="S317:T317"/>
    <mergeCell ref="E269:J269"/>
    <mergeCell ref="S307:T307"/>
    <mergeCell ref="S305:T305"/>
    <mergeCell ref="S306:T306"/>
    <mergeCell ref="Z209:Z210"/>
    <mergeCell ref="V1:W4"/>
    <mergeCell ref="Z17:Z27"/>
    <mergeCell ref="I20:T20"/>
    <mergeCell ref="H22:T22"/>
    <mergeCell ref="H23:T23"/>
    <mergeCell ref="A2:U2"/>
    <mergeCell ref="H13:T13"/>
    <mergeCell ref="H25:T25"/>
    <mergeCell ref="H24:T24"/>
    <mergeCell ref="H21:T21"/>
    <mergeCell ref="A3:U3"/>
    <mergeCell ref="H15:T15"/>
    <mergeCell ref="I19:T19"/>
    <mergeCell ref="D37:T37"/>
    <mergeCell ref="C186:H186"/>
    <mergeCell ref="K5:N5"/>
    <mergeCell ref="D216:R216"/>
    <mergeCell ref="S316:T316"/>
    <mergeCell ref="S312:T312"/>
    <mergeCell ref="E256:J256"/>
    <mergeCell ref="D243:J243"/>
    <mergeCell ref="E244:J244"/>
    <mergeCell ref="S310:T310"/>
    <mergeCell ref="S311:T311"/>
    <mergeCell ref="E235:J235"/>
    <mergeCell ref="E271:J271"/>
    <mergeCell ref="E266:J266"/>
    <mergeCell ref="R227:T227"/>
    <mergeCell ref="R229:T229"/>
    <mergeCell ref="H26:T26"/>
    <mergeCell ref="C193:H193"/>
  </mergeCells>
  <phoneticPr fontId="10"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2 W299:W1048576">
    <cfRule type="cellIs" dxfId="25" priority="13" stopIfTrue="1" operator="equal">
      <formula>"未入力あり"</formula>
    </cfRule>
  </conditionalFormatting>
  <conditionalFormatting sqref="W214:W231">
    <cfRule type="cellIs" dxfId="24" priority="12" stopIfTrue="1" operator="equal">
      <formula>"未入力あり"</formula>
    </cfRule>
  </conditionalFormatting>
  <conditionalFormatting sqref="W235:W238">
    <cfRule type="cellIs" dxfId="23" priority="7" stopIfTrue="1" operator="equal">
      <formula>"未入力あり"</formula>
    </cfRule>
  </conditionalFormatting>
  <conditionalFormatting sqref="W240:W242">
    <cfRule type="cellIs" dxfId="22" priority="6" stopIfTrue="1" operator="equal">
      <formula>"未入力あり"</formula>
    </cfRule>
  </conditionalFormatting>
  <conditionalFormatting sqref="W244:W248">
    <cfRule type="cellIs" dxfId="21" priority="5" stopIfTrue="1" operator="equal">
      <formula>"未入力あり"</formula>
    </cfRule>
  </conditionalFormatting>
  <conditionalFormatting sqref="W250:W254">
    <cfRule type="cellIs" dxfId="20" priority="41" stopIfTrue="1" operator="equal">
      <formula>"未入力あり"</formula>
    </cfRule>
  </conditionalFormatting>
  <conditionalFormatting sqref="W256:W258">
    <cfRule type="cellIs" dxfId="19" priority="4" stopIfTrue="1" operator="equal">
      <formula>"未入力あり"</formula>
    </cfRule>
  </conditionalFormatting>
  <conditionalFormatting sqref="W260:W264">
    <cfRule type="cellIs" dxfId="18" priority="3" stopIfTrue="1" operator="equal">
      <formula>"未入力あり"</formula>
    </cfRule>
  </conditionalFormatting>
  <conditionalFormatting sqref="W266:W267">
    <cfRule type="cellIs" dxfId="17" priority="35" stopIfTrue="1" operator="equal">
      <formula>"未入力あり"</formula>
    </cfRule>
  </conditionalFormatting>
  <conditionalFormatting sqref="W269">
    <cfRule type="cellIs" dxfId="16" priority="14" stopIfTrue="1" operator="equal">
      <formula>"未入力あり"</formula>
    </cfRule>
  </conditionalFormatting>
  <conditionalFormatting sqref="W271:W273">
    <cfRule type="cellIs" dxfId="15" priority="2" stopIfTrue="1" operator="equal">
      <formula>"未入力あり"</formula>
    </cfRule>
  </conditionalFormatting>
  <conditionalFormatting sqref="W277:W283">
    <cfRule type="cellIs" dxfId="14" priority="40" stopIfTrue="1" operator="equal">
      <formula>"未入力あり"</formula>
    </cfRule>
  </conditionalFormatting>
  <conditionalFormatting sqref="W286:W293">
    <cfRule type="cellIs" dxfId="13" priority="32" stopIfTrue="1" operator="equal">
      <formula>"未入力あり"</formula>
    </cfRule>
  </conditionalFormatting>
  <conditionalFormatting sqref="W295:W297">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18" xr:uid="{00000000-0002-0000-0400-000001000000}"/>
    <dataValidation type="list" allowBlank="1" showInputMessage="1" showErrorMessage="1" error="選択肢から選んでください" sqref="R226 R310:R312 R316:R317 R307 R305:R306 R228" xr:uid="{00000000-0002-0000-0400-000002000000}">
      <formula1>"はい,いいえ"</formula1>
    </dataValidation>
    <dataValidation type="list" allowBlank="1" showInputMessage="1" showErrorMessage="1" error="選択肢から選んでください" sqref="H204:H207" xr:uid="{00000000-0002-0000-0400-000003000000}">
      <formula1>"あり,なし"</formula1>
    </dataValidation>
    <dataValidation type="list" allowBlank="1" showInputMessage="1" showErrorMessage="1" error="選択肢から選んでください" sqref="R202"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0:R242 R244:R248 R250:R254 R256:R258 R260:R264 R266:R267 R269 R271:R273 R277:R283 R286:R293 R295:R297 R299:R303 R221:R223 R214:R215 R313 R211:R212 R235:R238 R31:R36"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198:R200 R182:R195 R157:R178 R153:R154 R70:R150 R42:R66" xr:uid="{D556E7D1-F782-4C58-90EA-CE2942470A5D}">
      <formula1>0</formula1>
      <formula2>AC42</formula2>
    </dataValidation>
    <dataValidation type="whole" errorStyle="warning" allowBlank="1" showInputMessage="1" showErrorMessage="1" errorTitle="入力値を要確認！" error="想定を超えた数値が入力されています。ご確認ください。" sqref="I42:I66 I70:I150 I153:I154 I157:I178 I182:I195 I198:I200" xr:uid="{52D6C230-AEBA-4DEC-B1D4-CD36AAD79BED}">
      <formula1>0</formula1>
      <formula2>AA42</formula2>
    </dataValidation>
    <dataValidation type="whole" errorStyle="warning" allowBlank="1" showInputMessage="1" showErrorMessage="1" errorTitle="入力値を要確認！" error="想定を超えた数値が入力されています。ご確認ください。" sqref="N204:N207" xr:uid="{EB5B0CD5-5DA3-4C58-A180-F1AE667FBCBF}">
      <formula1>0</formula1>
      <formula2>AA204</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6" fitToHeight="0" orientation="portrait" cellComments="asDisplayed" r:id="rId1"/>
  <headerFooter>
    <oddFooter>&amp;C&amp;P/&amp;N&amp;R&amp;A</oddFooter>
  </headerFooter>
  <rowBreaks count="2" manualBreakCount="2">
    <brk id="88" max="22" man="1"/>
    <brk id="155"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topLeftCell="D1" zoomScale="90" zoomScaleNormal="55" zoomScaleSheetLayoutView="90" workbookViewId="0">
      <selection activeCell="J216" sqref="J216:J241"/>
    </sheetView>
  </sheetViews>
  <sheetFormatPr defaultColWidth="9" defaultRowHeight="13.5"/>
  <cols>
    <col min="1" max="1" width="4.375" style="341" customWidth="1"/>
    <col min="2" max="7" width="4.125" style="341" customWidth="1"/>
    <col min="8" max="8" width="118.625" style="72" customWidth="1"/>
    <col min="9" max="9" width="9.875" style="337" customWidth="1"/>
    <col min="10" max="10" width="13.125" style="72" customWidth="1"/>
    <col min="11" max="11" width="56.625" style="72" customWidth="1"/>
    <col min="12" max="12" width="2.375" style="338" customWidth="1"/>
    <col min="13" max="13" width="9" style="339"/>
    <col min="14" max="14" width="1" style="339" customWidth="1"/>
    <col min="15" max="15" width="73.125" style="340" customWidth="1"/>
    <col min="16" max="20" width="9" style="59" hidden="1" customWidth="1"/>
    <col min="21" max="21" width="11.375" style="59" hidden="1" customWidth="1"/>
    <col min="22" max="22" width="9" style="59" customWidth="1"/>
    <col min="23" max="16384" width="9" style="59"/>
  </cols>
  <sheetData>
    <row r="1" spans="1:19" ht="14.25" thickBot="1">
      <c r="A1" s="336">
        <v>1</v>
      </c>
      <c r="B1" s="59"/>
      <c r="C1" s="59"/>
      <c r="D1" s="59"/>
      <c r="E1" s="59"/>
      <c r="F1" s="59"/>
      <c r="G1" s="59"/>
      <c r="H1" s="59"/>
      <c r="I1" s="59"/>
      <c r="K1" s="337"/>
      <c r="Q1" s="341" t="s">
        <v>586</v>
      </c>
      <c r="R1" s="341" t="s">
        <v>587</v>
      </c>
      <c r="S1" s="341" t="s">
        <v>588</v>
      </c>
    </row>
    <row r="2" spans="1:19" ht="21.75" customHeight="1" thickBot="1">
      <c r="A2" s="336">
        <v>2</v>
      </c>
      <c r="B2" s="342" t="s">
        <v>589</v>
      </c>
      <c r="C2" s="343"/>
      <c r="D2" s="343"/>
      <c r="E2" s="343"/>
      <c r="F2" s="343"/>
      <c r="G2" s="344"/>
      <c r="H2" s="345" t="str">
        <f>+IF(ISBLANK(表紙!E2),"未入力",表紙!E2)</f>
        <v>市立豊中病院</v>
      </c>
      <c r="J2" s="346"/>
      <c r="K2" s="347" t="str">
        <f>+IF(SUM(Q2:Q6)&gt;0,"未入力の必須要件があります。","")</f>
        <v/>
      </c>
      <c r="P2" s="59" t="s">
        <v>590</v>
      </c>
      <c r="Q2" s="59">
        <f>+COUNTIF($M12:$M297,$Q$1)</f>
        <v>0</v>
      </c>
      <c r="R2" s="59">
        <f>+COUNTIF($M12:$M297,$R$1)</f>
        <v>165</v>
      </c>
      <c r="S2" s="59">
        <f>+COUNTIF($M12:$M297,$S$1)</f>
        <v>0</v>
      </c>
    </row>
    <row r="3" spans="1:19" ht="21.75" customHeight="1" thickBot="1">
      <c r="A3" s="336">
        <v>3</v>
      </c>
      <c r="B3" s="342" t="s">
        <v>28</v>
      </c>
      <c r="C3" s="343"/>
      <c r="D3" s="343"/>
      <c r="E3" s="343"/>
      <c r="F3" s="343"/>
      <c r="G3" s="344"/>
      <c r="H3" s="345" t="str">
        <f>+IF(ISBLANK('様式4（全般事項）'!G5),"未入力",'様式4（全般事項）'!G5)</f>
        <v>地域がん診療連携拠点病院</v>
      </c>
      <c r="J3" s="337"/>
      <c r="K3" s="347" t="str">
        <f>+IF(SUM(S2:S6)&gt;0,"未充足の必須要件があります。別紙１に詳細を記載してください。","")</f>
        <v/>
      </c>
      <c r="P3" s="59" t="s">
        <v>591</v>
      </c>
      <c r="Q3" s="59">
        <f>+COUNTIF($M299:$M301,$Q$1)</f>
        <v>0</v>
      </c>
      <c r="R3" s="59">
        <f>+COUNTIF($M299:$M301,$R$1)</f>
        <v>0</v>
      </c>
      <c r="S3" s="59">
        <f>+COUNTIF($M299:$M301,$S$1)</f>
        <v>0</v>
      </c>
    </row>
    <row r="4" spans="1:19" ht="21.75" customHeight="1" thickBot="1">
      <c r="A4" s="336">
        <v>4</v>
      </c>
      <c r="B4" s="342" t="s">
        <v>592</v>
      </c>
      <c r="C4" s="343"/>
      <c r="D4" s="343"/>
      <c r="E4" s="343"/>
      <c r="F4" s="343"/>
      <c r="G4" s="344"/>
      <c r="H4" s="345" t="str">
        <f>+IF(ISBLANK('様式4（全般事項）'!G6),"未入力",'様式4（全般事項）'!G6)</f>
        <v>地域がん診療連携拠点病院</v>
      </c>
      <c r="J4" s="337"/>
      <c r="K4" s="337"/>
      <c r="P4" s="59" t="s">
        <v>593</v>
      </c>
      <c r="Q4" s="59">
        <f>+COUNTIF($M303:$M338,$Q$1)</f>
        <v>0</v>
      </c>
      <c r="R4" s="59">
        <f>+COUNTIF($M303:$M338,$R$1)</f>
        <v>0</v>
      </c>
      <c r="S4" s="59">
        <f>+COUNTIF($M303:$M338,$S$1)</f>
        <v>0</v>
      </c>
    </row>
    <row r="5" spans="1:19" ht="14.25" thickBot="1">
      <c r="A5" s="336">
        <v>5</v>
      </c>
      <c r="J5" s="337"/>
      <c r="K5" s="337"/>
      <c r="P5" s="59" t="s">
        <v>594</v>
      </c>
      <c r="Q5" s="59">
        <f>+COUNTIF($M340:$M346,$Q$1)</f>
        <v>0</v>
      </c>
      <c r="R5" s="59">
        <f>+COUNTIF($M340:$M346,$R$1)</f>
        <v>0</v>
      </c>
      <c r="S5" s="59">
        <f>+COUNTIF($M340:$M346,$S$1)</f>
        <v>0</v>
      </c>
    </row>
    <row r="6" spans="1:19" ht="14.25" thickBot="1">
      <c r="A6" s="336">
        <v>6</v>
      </c>
      <c r="B6" s="340"/>
      <c r="J6" s="337"/>
      <c r="K6" s="337"/>
      <c r="P6" s="59" t="s">
        <v>595</v>
      </c>
      <c r="Q6" s="59">
        <f>+COUNTIF($M348:$M608,$Q$1)</f>
        <v>0</v>
      </c>
      <c r="R6" s="59">
        <f>+COUNTIF($M348:$M608,$R$1)</f>
        <v>0</v>
      </c>
      <c r="S6" s="59">
        <f>+COUNTIF($M348:$M608,$S$1)</f>
        <v>0</v>
      </c>
    </row>
    <row r="7" spans="1:19" ht="14.25" thickBot="1">
      <c r="A7" s="336">
        <v>7</v>
      </c>
      <c r="B7" s="340"/>
      <c r="J7" s="337"/>
      <c r="K7" s="337"/>
    </row>
    <row r="8" spans="1:19" ht="14.25" thickBot="1">
      <c r="A8" s="336">
        <v>8</v>
      </c>
      <c r="B8" s="340"/>
      <c r="J8" s="337"/>
      <c r="K8" s="337"/>
    </row>
    <row r="9" spans="1:19" ht="14.25" thickBot="1">
      <c r="A9" s="336">
        <v>9</v>
      </c>
      <c r="B9" s="340"/>
      <c r="J9" s="337"/>
      <c r="K9" s="337"/>
    </row>
    <row r="10" spans="1:19" ht="39" customHeight="1" thickBot="1">
      <c r="A10" s="336">
        <v>10</v>
      </c>
      <c r="B10" s="59"/>
      <c r="J10" s="337"/>
    </row>
    <row r="11" spans="1:19" ht="27">
      <c r="A11" s="336">
        <v>11</v>
      </c>
      <c r="B11" s="348" t="s">
        <v>596</v>
      </c>
      <c r="C11" s="349"/>
      <c r="D11" s="349"/>
      <c r="E11" s="349"/>
      <c r="F11" s="349"/>
      <c r="G11" s="349"/>
      <c r="H11" s="350" t="s">
        <v>597</v>
      </c>
      <c r="I11" s="351" t="s">
        <v>598</v>
      </c>
      <c r="J11" s="352" t="s">
        <v>599</v>
      </c>
      <c r="K11" s="353" t="s">
        <v>600</v>
      </c>
      <c r="O11" s="354" t="s">
        <v>601</v>
      </c>
    </row>
    <row r="12" spans="1:19" ht="14.25" thickBot="1">
      <c r="A12" s="336">
        <v>12</v>
      </c>
      <c r="B12" s="1053" t="s">
        <v>602</v>
      </c>
      <c r="C12" s="1054" t="s">
        <v>603</v>
      </c>
      <c r="D12" s="1053"/>
      <c r="E12" s="1053"/>
      <c r="F12" s="1053"/>
      <c r="G12" s="1053"/>
      <c r="H12" s="1055"/>
      <c r="I12" s="1056"/>
      <c r="J12" s="1055"/>
      <c r="K12" s="1057"/>
      <c r="O12" s="355" t="s">
        <v>604</v>
      </c>
    </row>
    <row r="13" spans="1:19" ht="14.25" thickBot="1">
      <c r="A13" s="336">
        <v>13</v>
      </c>
      <c r="C13" s="1058" t="s">
        <v>605</v>
      </c>
      <c r="D13" s="1059" t="s">
        <v>606</v>
      </c>
      <c r="E13" s="1060"/>
      <c r="F13" s="1060"/>
      <c r="G13" s="1060"/>
      <c r="H13" s="1061"/>
      <c r="I13" s="1062"/>
      <c r="J13" s="1061"/>
      <c r="K13" s="1063"/>
      <c r="O13" s="355"/>
    </row>
    <row r="14" spans="1:19" ht="14.25" thickBot="1">
      <c r="A14" s="336">
        <v>14</v>
      </c>
      <c r="C14" s="1005"/>
      <c r="H14" s="1064" t="s">
        <v>607</v>
      </c>
      <c r="I14" s="1065" t="str">
        <f>+IF(AND($H$3="地域がん診療病院",OR($H$4="地域がん診療病院",$H$4="地域がん診療病院(特例型)",$H$4="新規指定推薦")),"-","A")</f>
        <v>A</v>
      </c>
      <c r="J14" s="75" t="s">
        <v>1936</v>
      </c>
      <c r="K14" s="1066"/>
      <c r="M14" s="356" t="str">
        <f>+IF(I14="A",IF(ISBLANK(J14),"未入力あり",IF(J14="はい","○","×")),"")</f>
        <v>○</v>
      </c>
      <c r="O14" s="166"/>
    </row>
    <row r="15" spans="1:19" ht="27.75" thickBot="1">
      <c r="A15" s="336">
        <v>15</v>
      </c>
      <c r="C15" s="357"/>
      <c r="D15" s="358"/>
      <c r="E15" s="358"/>
      <c r="F15" s="358"/>
      <c r="G15" s="358"/>
      <c r="H15" s="359" t="s">
        <v>608</v>
      </c>
      <c r="I15" s="360" t="str">
        <f>+IF(AND($H$3="地域がん診療病院",OR($H$4="地域がん診療病院",$H$4="地域がん診療病院(特例型)",$H$4="新規指定推薦")),"-","A")</f>
        <v>A</v>
      </c>
      <c r="J15" s="75" t="s">
        <v>1936</v>
      </c>
      <c r="K15" s="361"/>
      <c r="M15" s="356" t="str">
        <f>+IF(I15="A",IF(ISBLANK(J15),"未入力あり",IF(J15="はい","○","×")),"")</f>
        <v>○</v>
      </c>
      <c r="O15" s="166"/>
    </row>
    <row r="16" spans="1:19" ht="14.25" thickBot="1">
      <c r="A16" s="336">
        <v>16</v>
      </c>
      <c r="C16" s="1058" t="s">
        <v>609</v>
      </c>
      <c r="D16" s="1059" t="s">
        <v>610</v>
      </c>
      <c r="E16" s="1060"/>
      <c r="F16" s="1060"/>
      <c r="G16" s="1060"/>
      <c r="H16" s="1061"/>
      <c r="I16" s="1062"/>
      <c r="J16" s="1061"/>
      <c r="K16" s="1063"/>
      <c r="O16" s="166"/>
    </row>
    <row r="17" spans="1:21" ht="14.25" thickBot="1">
      <c r="A17" s="336">
        <v>17</v>
      </c>
      <c r="C17" s="989"/>
      <c r="D17" s="1067" t="s">
        <v>611</v>
      </c>
      <c r="E17" s="1068" t="s">
        <v>612</v>
      </c>
      <c r="F17" s="1069"/>
      <c r="G17" s="1069"/>
      <c r="H17" s="1070"/>
      <c r="I17" s="1071"/>
      <c r="J17" s="1070"/>
      <c r="K17" s="1072"/>
      <c r="O17" s="166"/>
    </row>
    <row r="18" spans="1:21" ht="14.25" thickBot="1">
      <c r="A18" s="336">
        <v>18</v>
      </c>
      <c r="C18" s="989"/>
      <c r="D18" s="989"/>
      <c r="E18" s="1073" t="s">
        <v>480</v>
      </c>
      <c r="F18" s="1074" t="s">
        <v>613</v>
      </c>
      <c r="G18" s="1075"/>
      <c r="H18" s="1076"/>
      <c r="I18" s="1077"/>
      <c r="J18" s="1076"/>
      <c r="K18" s="1078"/>
      <c r="O18" s="166"/>
    </row>
    <row r="19" spans="1:21" ht="54.75" thickBot="1">
      <c r="A19" s="336">
        <v>19</v>
      </c>
      <c r="C19" s="989"/>
      <c r="D19" s="989"/>
      <c r="E19" s="989"/>
      <c r="F19" s="1079" t="s">
        <v>614</v>
      </c>
      <c r="G19" s="1080"/>
      <c r="H19" s="1081" t="s">
        <v>615</v>
      </c>
      <c r="I19" s="1082" t="str">
        <f t="shared" ref="I19:I33" si="0">+IF(AND($H$3="地域がん診療病院",OR($H$4="地域がん診療病院",$H$4="地域がん診療病院(特例型)",$H$4="新規指定推薦")),"-","A")</f>
        <v>A</v>
      </c>
      <c r="J19" s="75" t="s">
        <v>1936</v>
      </c>
      <c r="K19" s="1066" t="s">
        <v>616</v>
      </c>
      <c r="M19" s="356" t="str">
        <f t="shared" ref="M19:M27" si="1">+IF(I19="A",IF(ISBLANK(J19),"未入力あり",IF(J19="はい","○","×")),"")</f>
        <v>○</v>
      </c>
      <c r="O19" s="166"/>
    </row>
    <row r="20" spans="1:21" ht="27.75" thickBot="1">
      <c r="A20" s="336">
        <v>20</v>
      </c>
      <c r="C20" s="989"/>
      <c r="D20" s="989"/>
      <c r="E20" s="989"/>
      <c r="F20" s="362"/>
      <c r="G20" s="358"/>
      <c r="H20" s="359" t="s">
        <v>617</v>
      </c>
      <c r="I20" s="363" t="str">
        <f t="shared" si="0"/>
        <v>A</v>
      </c>
      <c r="J20" s="75" t="s">
        <v>1936</v>
      </c>
      <c r="K20" s="361" t="s">
        <v>618</v>
      </c>
      <c r="M20" s="356" t="str">
        <f t="shared" si="1"/>
        <v>○</v>
      </c>
      <c r="O20" s="166"/>
    </row>
    <row r="21" spans="1:21" ht="14.25" thickBot="1">
      <c r="A21" s="336">
        <v>21</v>
      </c>
      <c r="C21" s="989"/>
      <c r="D21" s="989"/>
      <c r="E21" s="989"/>
      <c r="F21" s="1079" t="s">
        <v>619</v>
      </c>
      <c r="G21" s="1080"/>
      <c r="H21" s="364" t="s">
        <v>620</v>
      </c>
      <c r="I21" s="365" t="str">
        <f t="shared" si="0"/>
        <v>A</v>
      </c>
      <c r="J21" s="75" t="s">
        <v>1936</v>
      </c>
      <c r="K21" s="366"/>
      <c r="M21" s="356" t="str">
        <f t="shared" si="1"/>
        <v>○</v>
      </c>
      <c r="O21" s="166"/>
    </row>
    <row r="22" spans="1:21" ht="14.25" thickBot="1">
      <c r="A22" s="336">
        <v>22</v>
      </c>
      <c r="C22" s="989"/>
      <c r="D22" s="989"/>
      <c r="E22" s="989"/>
      <c r="F22" s="989"/>
      <c r="G22" s="367" t="s">
        <v>621</v>
      </c>
      <c r="H22" s="368" t="s">
        <v>622</v>
      </c>
      <c r="I22" s="369" t="str">
        <f t="shared" si="0"/>
        <v>A</v>
      </c>
      <c r="J22" s="75" t="s">
        <v>1936</v>
      </c>
      <c r="K22" s="370"/>
      <c r="M22" s="356" t="str">
        <f t="shared" si="1"/>
        <v>○</v>
      </c>
      <c r="O22" s="166"/>
    </row>
    <row r="23" spans="1:21" ht="14.25" thickBot="1">
      <c r="A23" s="336">
        <v>23</v>
      </c>
      <c r="C23" s="989"/>
      <c r="D23" s="989"/>
      <c r="E23" s="989"/>
      <c r="F23" s="989"/>
      <c r="G23" s="367" t="s">
        <v>623</v>
      </c>
      <c r="H23" s="368" t="s">
        <v>624</v>
      </c>
      <c r="I23" s="369" t="str">
        <f t="shared" si="0"/>
        <v>A</v>
      </c>
      <c r="J23" s="75" t="s">
        <v>1936</v>
      </c>
      <c r="K23" s="370"/>
      <c r="M23" s="356" t="str">
        <f t="shared" si="1"/>
        <v>○</v>
      </c>
      <c r="O23" s="166"/>
    </row>
    <row r="24" spans="1:21" ht="14.25" thickBot="1">
      <c r="A24" s="336">
        <v>24</v>
      </c>
      <c r="C24" s="989"/>
      <c r="D24" s="989"/>
      <c r="E24" s="989"/>
      <c r="F24" s="362"/>
      <c r="G24" s="371" t="s">
        <v>625</v>
      </c>
      <c r="H24" s="372" t="s">
        <v>626</v>
      </c>
      <c r="I24" s="373" t="str">
        <f t="shared" si="0"/>
        <v>A</v>
      </c>
      <c r="J24" s="75" t="s">
        <v>1936</v>
      </c>
      <c r="K24" s="374"/>
      <c r="M24" s="356" t="str">
        <f t="shared" si="1"/>
        <v>○</v>
      </c>
      <c r="O24" s="166"/>
    </row>
    <row r="25" spans="1:21" ht="14.25" thickBot="1">
      <c r="A25" s="336">
        <v>25</v>
      </c>
      <c r="C25" s="989"/>
      <c r="D25" s="989"/>
      <c r="E25" s="989"/>
      <c r="F25" s="1079" t="s">
        <v>627</v>
      </c>
      <c r="G25" s="1080"/>
      <c r="H25" s="364" t="s">
        <v>628</v>
      </c>
      <c r="I25" s="365" t="str">
        <f t="shared" si="0"/>
        <v>A</v>
      </c>
      <c r="J25" s="75" t="s">
        <v>1936</v>
      </c>
      <c r="K25" s="366"/>
      <c r="M25" s="356" t="str">
        <f t="shared" si="1"/>
        <v>○</v>
      </c>
      <c r="O25" s="166"/>
    </row>
    <row r="26" spans="1:21" ht="14.25" thickBot="1">
      <c r="A26" s="336">
        <v>26</v>
      </c>
      <c r="C26" s="989"/>
      <c r="D26" s="989"/>
      <c r="E26" s="989"/>
      <c r="F26" s="989"/>
      <c r="G26" s="367" t="s">
        <v>621</v>
      </c>
      <c r="H26" s="368" t="s">
        <v>629</v>
      </c>
      <c r="I26" s="369" t="str">
        <f t="shared" si="0"/>
        <v>A</v>
      </c>
      <c r="J26" s="75" t="s">
        <v>1936</v>
      </c>
      <c r="K26" s="370" t="s">
        <v>630</v>
      </c>
      <c r="M26" s="356" t="str">
        <f t="shared" si="1"/>
        <v>○</v>
      </c>
      <c r="O26" s="166"/>
    </row>
    <row r="27" spans="1:21" ht="27.75" thickBot="1">
      <c r="A27" s="336">
        <v>27</v>
      </c>
      <c r="C27" s="989"/>
      <c r="D27" s="989"/>
      <c r="E27" s="989"/>
      <c r="F27" s="989"/>
      <c r="G27" s="367" t="s">
        <v>623</v>
      </c>
      <c r="H27" s="368" t="s">
        <v>631</v>
      </c>
      <c r="I27" s="369" t="str">
        <f t="shared" si="0"/>
        <v>A</v>
      </c>
      <c r="J27" s="75" t="s">
        <v>1936</v>
      </c>
      <c r="K27" s="370" t="s">
        <v>630</v>
      </c>
      <c r="M27" s="356" t="str">
        <f t="shared" si="1"/>
        <v>○</v>
      </c>
      <c r="O27" s="166"/>
    </row>
    <row r="28" spans="1:21" ht="41.25" thickBot="1">
      <c r="A28" s="336">
        <v>28</v>
      </c>
      <c r="C28" s="989"/>
      <c r="D28" s="989"/>
      <c r="E28" s="989"/>
      <c r="F28" s="989"/>
      <c r="G28" s="367" t="s">
        <v>625</v>
      </c>
      <c r="H28" s="368" t="s">
        <v>632</v>
      </c>
      <c r="I28" s="369" t="str">
        <f t="shared" si="0"/>
        <v>A</v>
      </c>
      <c r="J28" s="335">
        <v>4</v>
      </c>
      <c r="K28" s="370" t="s">
        <v>633</v>
      </c>
      <c r="M28" s="356" t="str">
        <f>+IF(I28="A",IF(ISBLANK(J28),"未入力あり",IF(J28&gt;0,"○","×")),"")</f>
        <v>○</v>
      </c>
      <c r="O28" s="166"/>
      <c r="T28" s="375">
        <v>0</v>
      </c>
      <c r="U28" s="376">
        <v>30</v>
      </c>
    </row>
    <row r="29" spans="1:21" ht="27.75" thickBot="1">
      <c r="A29" s="336">
        <v>29</v>
      </c>
      <c r="C29" s="989"/>
      <c r="D29" s="989"/>
      <c r="E29" s="989"/>
      <c r="F29" s="989"/>
      <c r="G29" s="377" t="s">
        <v>634</v>
      </c>
      <c r="H29" s="372" t="s">
        <v>635</v>
      </c>
      <c r="I29" s="373" t="str">
        <f t="shared" si="0"/>
        <v>A</v>
      </c>
      <c r="J29" s="335">
        <v>1</v>
      </c>
      <c r="K29" s="374" t="s">
        <v>636</v>
      </c>
      <c r="M29" s="356" t="str">
        <f>+IF(I29="A",IF(ISBLANK(J29),"未入力あり",IF(J29&gt;=1,"○","×")),"")</f>
        <v>○</v>
      </c>
      <c r="O29" s="166"/>
      <c r="T29" s="375">
        <v>0</v>
      </c>
      <c r="U29" s="376">
        <v>30</v>
      </c>
    </row>
    <row r="30" spans="1:21" ht="14.25" thickBot="1">
      <c r="A30" s="336">
        <v>30</v>
      </c>
      <c r="C30" s="989"/>
      <c r="D30" s="989"/>
      <c r="E30" s="989"/>
      <c r="F30" s="989"/>
      <c r="G30" s="378"/>
      <c r="H30" s="1081" t="s">
        <v>637</v>
      </c>
      <c r="I30" s="1082" t="str">
        <f t="shared" si="0"/>
        <v>A</v>
      </c>
      <c r="J30" s="75" t="s">
        <v>1936</v>
      </c>
      <c r="K30" s="1066"/>
      <c r="M30" s="356" t="str">
        <f t="shared" ref="M30:M33" si="2">+IF(I30="A",IF(ISBLANK(J30),"未入力あり",IF(J30="はい","○","×")),"")</f>
        <v>○</v>
      </c>
      <c r="O30" s="166"/>
    </row>
    <row r="31" spans="1:21" ht="14.25" thickBot="1">
      <c r="A31" s="336">
        <v>31</v>
      </c>
      <c r="C31" s="989"/>
      <c r="D31" s="989"/>
      <c r="E31" s="989"/>
      <c r="F31" s="362"/>
      <c r="G31" s="379"/>
      <c r="H31" s="359" t="s">
        <v>638</v>
      </c>
      <c r="I31" s="363" t="str">
        <f t="shared" si="0"/>
        <v>A</v>
      </c>
      <c r="J31" s="75" t="s">
        <v>1936</v>
      </c>
      <c r="K31" s="361"/>
      <c r="M31" s="356" t="str">
        <f t="shared" si="2"/>
        <v>○</v>
      </c>
      <c r="O31" s="166"/>
    </row>
    <row r="32" spans="1:21" ht="27.75" thickBot="1">
      <c r="A32" s="336">
        <v>32</v>
      </c>
      <c r="C32" s="989"/>
      <c r="D32" s="989"/>
      <c r="E32" s="989"/>
      <c r="F32" s="380" t="s">
        <v>639</v>
      </c>
      <c r="G32" s="381"/>
      <c r="H32" s="68" t="s">
        <v>640</v>
      </c>
      <c r="I32" s="382" t="str">
        <f t="shared" si="0"/>
        <v>A</v>
      </c>
      <c r="J32" s="75" t="s">
        <v>1936</v>
      </c>
      <c r="K32" s="383" t="s">
        <v>641</v>
      </c>
      <c r="M32" s="356" t="str">
        <f t="shared" si="2"/>
        <v>○</v>
      </c>
      <c r="O32" s="166"/>
    </row>
    <row r="33" spans="1:21" ht="27.75" thickBot="1">
      <c r="A33" s="336">
        <v>33</v>
      </c>
      <c r="C33" s="989"/>
      <c r="D33" s="989"/>
      <c r="E33" s="989"/>
      <c r="F33" s="1079" t="s">
        <v>642</v>
      </c>
      <c r="G33" s="1080"/>
      <c r="H33" s="1081" t="s">
        <v>643</v>
      </c>
      <c r="I33" s="1082" t="str">
        <f t="shared" si="0"/>
        <v>A</v>
      </c>
      <c r="J33" s="75" t="s">
        <v>1936</v>
      </c>
      <c r="K33" s="1066"/>
      <c r="M33" s="356" t="str">
        <f t="shared" si="2"/>
        <v>○</v>
      </c>
      <c r="O33" s="166"/>
    </row>
    <row r="34" spans="1:21" ht="38.25" customHeight="1" thickBot="1">
      <c r="A34" s="336">
        <v>34</v>
      </c>
      <c r="C34" s="989"/>
      <c r="D34" s="989"/>
      <c r="E34" s="362"/>
      <c r="F34" s="362"/>
      <c r="G34" s="358"/>
      <c r="H34" s="359" t="s">
        <v>644</v>
      </c>
      <c r="I34" s="363" t="s">
        <v>645</v>
      </c>
      <c r="J34" s="111" t="s">
        <v>1937</v>
      </c>
      <c r="K34" s="361"/>
      <c r="M34" s="356" t="str">
        <f>+IF(AND($H$3="地域がん診療病院",OR($H$4="地域がん診療病院",$H$4="地域がん診療病院(特例型)",$H$4="新規指定推薦")),"",IF(ISBLANK(J34),"未入力あり","〇"))</f>
        <v>〇</v>
      </c>
      <c r="O34" s="166"/>
    </row>
    <row r="35" spans="1:21" ht="14.25" thickBot="1">
      <c r="A35" s="336">
        <v>35</v>
      </c>
      <c r="C35" s="989"/>
      <c r="D35" s="989"/>
      <c r="E35" s="1073" t="s">
        <v>489</v>
      </c>
      <c r="F35" s="1074" t="s">
        <v>646</v>
      </c>
      <c r="G35" s="1075"/>
      <c r="H35" s="1076"/>
      <c r="I35" s="1077"/>
      <c r="J35" s="1076"/>
      <c r="K35" s="1078"/>
      <c r="O35" s="166"/>
    </row>
    <row r="36" spans="1:21" ht="14.25" thickBot="1">
      <c r="A36" s="336">
        <v>36</v>
      </c>
      <c r="C36" s="989"/>
      <c r="D36" s="989"/>
      <c r="E36" s="989"/>
      <c r="F36" s="1079" t="s">
        <v>614</v>
      </c>
      <c r="G36" s="1080"/>
      <c r="H36" s="1081" t="s">
        <v>647</v>
      </c>
      <c r="I36" s="1082" t="str">
        <f>+IF(AND($H$3="地域がん診療病院",OR($H$4="地域がん診療病院",$H$4="地域がん診療病院(特例型)",$H$4="新規指定推薦")),"-","A")</f>
        <v>A</v>
      </c>
      <c r="J36" s="75" t="s">
        <v>1936</v>
      </c>
      <c r="K36" s="1066"/>
      <c r="M36" s="356" t="str">
        <f t="shared" ref="M36:M47" si="3">+IF(I36="A",IF(ISBLANK(J36),"未入力あり",IF(J36="はい","○","×")),"")</f>
        <v>○</v>
      </c>
      <c r="O36" s="166"/>
    </row>
    <row r="37" spans="1:21" ht="14.25" thickBot="1">
      <c r="A37" s="336">
        <v>37</v>
      </c>
      <c r="C37" s="989"/>
      <c r="D37" s="989"/>
      <c r="E37" s="989"/>
      <c r="F37" s="362"/>
      <c r="G37" s="379"/>
      <c r="H37" s="384" t="s">
        <v>648</v>
      </c>
      <c r="I37" s="385" t="s">
        <v>649</v>
      </c>
      <c r="J37" s="75" t="s">
        <v>1934</v>
      </c>
      <c r="K37" s="386"/>
      <c r="M37" s="356" t="str">
        <f>+IF(AND($H$3="地域がん診療病院",OR($H$4="地域がん診療病院",$H$4="地域がん診療病院(特例型)",$H$4="新規指定推薦")),"",IF(ISBLANK(J37),"未入力あり","〇"))</f>
        <v>〇</v>
      </c>
      <c r="O37" s="166"/>
    </row>
    <row r="38" spans="1:21" ht="14.25" thickBot="1">
      <c r="A38" s="336">
        <v>38</v>
      </c>
      <c r="C38" s="989"/>
      <c r="D38" s="989"/>
      <c r="E38" s="989"/>
      <c r="F38" s="1079" t="s">
        <v>619</v>
      </c>
      <c r="G38" s="1080"/>
      <c r="H38" s="1081" t="s">
        <v>650</v>
      </c>
      <c r="I38" s="1082" t="str">
        <f>+IF(AND($H$3="地域がん診療病院",OR($H$4="地域がん診療病院",$H$4="地域がん診療病院(特例型)",$H$4="新規指定推薦")),"-","A")</f>
        <v>A</v>
      </c>
      <c r="J38" s="75" t="s">
        <v>1936</v>
      </c>
      <c r="K38" s="1066"/>
      <c r="M38" s="356" t="str">
        <f t="shared" si="3"/>
        <v>○</v>
      </c>
      <c r="O38" s="166"/>
    </row>
    <row r="39" spans="1:21" ht="14.25" thickBot="1">
      <c r="A39" s="336">
        <v>39</v>
      </c>
      <c r="C39" s="989"/>
      <c r="D39" s="989"/>
      <c r="E39" s="989"/>
      <c r="F39" s="362"/>
      <c r="G39" s="358"/>
      <c r="H39" s="359" t="s">
        <v>651</v>
      </c>
      <c r="I39" s="363" t="str">
        <f>+IF(AND($H$3="地域がん診療病院",OR($H$4="地域がん診療病院",$H$4="地域がん診療病院(特例型)",$H$4="新規指定推薦")),"-","C")</f>
        <v>C</v>
      </c>
      <c r="J39" s="75" t="s">
        <v>1936</v>
      </c>
      <c r="K39" s="361"/>
      <c r="M39" s="356" t="str">
        <f>IF(AND(I39="C",J39=""),"未入力あり",IF(AND(I39="C",J39&lt;&gt;""),"〇",IF(I39="-","")))</f>
        <v>〇</v>
      </c>
      <c r="O39" s="166"/>
    </row>
    <row r="40" spans="1:21" ht="14.25" thickBot="1">
      <c r="A40" s="336">
        <v>40</v>
      </c>
      <c r="C40" s="989"/>
      <c r="D40" s="989"/>
      <c r="E40" s="989"/>
      <c r="F40" s="1079" t="s">
        <v>627</v>
      </c>
      <c r="G40" s="1080"/>
      <c r="H40" s="1081" t="s">
        <v>652</v>
      </c>
      <c r="I40" s="1082" t="str">
        <f>+IF(AND($H$3="地域がん診療病院",OR($H$4="地域がん診療病院",$H$4="地域がん診療病院(特例型)",$H$4="新規指定推薦")),"-","C")</f>
        <v>C</v>
      </c>
      <c r="J40" s="75" t="s">
        <v>1934</v>
      </c>
      <c r="K40" s="1066"/>
      <c r="M40" s="356" t="str">
        <f>IF(AND(I40="C",J40=""),"未入力あり",IF(AND(I40="C",J40&lt;&gt;""),"〇",IF(I40="-","")))</f>
        <v>〇</v>
      </c>
      <c r="O40" s="166"/>
    </row>
    <row r="41" spans="1:21" ht="14.25" thickBot="1">
      <c r="A41" s="336">
        <v>41</v>
      </c>
      <c r="C41" s="989"/>
      <c r="D41" s="989"/>
      <c r="E41" s="989"/>
      <c r="F41" s="362"/>
      <c r="G41" s="358"/>
      <c r="H41" s="359" t="s">
        <v>653</v>
      </c>
      <c r="I41" s="363" t="str">
        <f>+IF(AND($H$3="地域がん診療病院",OR($H$4="地域がん診療病院",$H$4="地域がん診療病院(特例型)",$H$4="新規指定推薦")),"-","C")</f>
        <v>C</v>
      </c>
      <c r="J41" s="75" t="s">
        <v>1934</v>
      </c>
      <c r="K41" s="361"/>
      <c r="M41" s="356" t="str">
        <f>IF(AND(I41="C",J41=""),"未入力あり",IF(AND(I41="C",J41&lt;&gt;""),"〇",IF(I41="-","")))</f>
        <v>〇</v>
      </c>
      <c r="O41" s="166"/>
    </row>
    <row r="42" spans="1:21" ht="14.25" thickBot="1">
      <c r="A42" s="336">
        <v>42</v>
      </c>
      <c r="C42" s="989"/>
      <c r="D42" s="989"/>
      <c r="E42" s="989"/>
      <c r="F42" s="1079" t="s">
        <v>639</v>
      </c>
      <c r="G42" s="1083"/>
      <c r="H42" s="387" t="s">
        <v>654</v>
      </c>
      <c r="I42" s="388" t="str">
        <f>+IF(AND($H$3="地域がん診療病院",OR($H$4="地域がん診療病院",$H$4="地域がん診療病院(特例型)",$H$4="新規指定推薦")),"-","A")</f>
        <v>A</v>
      </c>
      <c r="J42" s="75" t="s">
        <v>1936</v>
      </c>
      <c r="K42" s="389"/>
      <c r="M42" s="356" t="str">
        <f t="shared" si="3"/>
        <v>○</v>
      </c>
      <c r="O42" s="166"/>
    </row>
    <row r="43" spans="1:21" ht="14.25" thickBot="1">
      <c r="A43" s="336">
        <v>43</v>
      </c>
      <c r="C43" s="989"/>
      <c r="D43" s="989"/>
      <c r="E43" s="989"/>
      <c r="F43" s="362"/>
      <c r="G43" s="379"/>
      <c r="H43" s="390" t="s">
        <v>655</v>
      </c>
      <c r="I43" s="391" t="s">
        <v>645</v>
      </c>
      <c r="J43" s="75" t="s">
        <v>1934</v>
      </c>
      <c r="K43" s="392"/>
      <c r="M43" s="356" t="str">
        <f>+IF(AND($H$3="地域がん診療病院",OR($H$4="地域がん診療病院",$H$4="地域がん診療病院(特例型)",$H$4="新規指定推薦")),"",IF(ISBLANK(J43),"未入力あり","〇"))</f>
        <v>〇</v>
      </c>
      <c r="O43" s="166"/>
    </row>
    <row r="44" spans="1:21" ht="27.75" thickBot="1">
      <c r="A44" s="336">
        <v>44</v>
      </c>
      <c r="C44" s="989"/>
      <c r="D44" s="989"/>
      <c r="E44" s="989"/>
      <c r="F44" s="1079" t="s">
        <v>642</v>
      </c>
      <c r="G44" s="1080"/>
      <c r="H44" s="1081" t="s">
        <v>656</v>
      </c>
      <c r="I44" s="1082" t="str">
        <f>+IF(AND($H$3="地域がん診療病院",OR($H$4="地域がん診療病院",$H$4="地域がん診療病院(特例型)",$H$4="新規指定推薦")),"-","A")</f>
        <v>A</v>
      </c>
      <c r="J44" s="75" t="s">
        <v>1936</v>
      </c>
      <c r="K44" s="1066"/>
      <c r="M44" s="356" t="str">
        <f t="shared" si="3"/>
        <v>○</v>
      </c>
      <c r="O44" s="166"/>
    </row>
    <row r="45" spans="1:21" ht="14.25" thickBot="1">
      <c r="A45" s="336">
        <v>45</v>
      </c>
      <c r="C45" s="989"/>
      <c r="D45" s="989"/>
      <c r="E45" s="989"/>
      <c r="F45" s="989"/>
      <c r="H45" s="393" t="s">
        <v>657</v>
      </c>
      <c r="I45" s="394" t="s">
        <v>649</v>
      </c>
      <c r="J45" s="75" t="s">
        <v>1934</v>
      </c>
      <c r="K45" s="395"/>
      <c r="M45" s="356" t="str">
        <f t="shared" ref="M45:M46" si="4">+IF(AND($H$3="地域がん診療病院",OR($H$4="地域がん診療病院",$H$4="地域がん診療病院(特例型)",$H$4="新規指定推薦")),"",IF(ISBLANK(J45),"未入力あり","〇"))</f>
        <v>〇</v>
      </c>
      <c r="O45" s="166"/>
    </row>
    <row r="46" spans="1:21" ht="14.25" thickBot="1">
      <c r="A46" s="336">
        <v>46</v>
      </c>
      <c r="C46" s="989"/>
      <c r="D46" s="989"/>
      <c r="E46" s="989"/>
      <c r="F46" s="362"/>
      <c r="G46" s="379"/>
      <c r="H46" s="390" t="s">
        <v>658</v>
      </c>
      <c r="I46" s="391" t="s">
        <v>645</v>
      </c>
      <c r="J46" s="75" t="s">
        <v>1934</v>
      </c>
      <c r="K46" s="392"/>
      <c r="M46" s="356" t="str">
        <f t="shared" si="4"/>
        <v>〇</v>
      </c>
      <c r="O46" s="166"/>
    </row>
    <row r="47" spans="1:21" ht="13.5" customHeight="1" thickBot="1">
      <c r="A47" s="336">
        <v>47</v>
      </c>
      <c r="C47" s="989"/>
      <c r="D47" s="989"/>
      <c r="E47" s="989"/>
      <c r="F47" s="1079" t="s">
        <v>659</v>
      </c>
      <c r="G47" s="1080"/>
      <c r="H47" s="1081" t="s">
        <v>660</v>
      </c>
      <c r="I47" s="1082" t="str">
        <f>+IF(AND($H$3="地域がん診療病院",OR($H$4="地域がん診療病院",$H$4="地域がん診療病院(特例型)",$H$4="新規指定推薦")),"-","A")</f>
        <v>A</v>
      </c>
      <c r="J47" s="75" t="s">
        <v>1936</v>
      </c>
      <c r="K47" s="1084"/>
      <c r="M47" s="356" t="str">
        <f t="shared" si="3"/>
        <v>○</v>
      </c>
      <c r="O47" s="166"/>
    </row>
    <row r="48" spans="1:21" ht="14.25" thickBot="1">
      <c r="A48" s="336">
        <v>48</v>
      </c>
      <c r="C48" s="989"/>
      <c r="D48" s="989"/>
      <c r="E48" s="989"/>
      <c r="F48" s="989"/>
      <c r="H48" s="393" t="s">
        <v>661</v>
      </c>
      <c r="I48" s="1082" t="s">
        <v>649</v>
      </c>
      <c r="J48" s="335">
        <v>202312</v>
      </c>
      <c r="K48" s="1029"/>
      <c r="M48" s="356" t="str">
        <f>+IF($J$47="はい",IF(ISBLANK(J48),"未入力あり",IF(J48&lt;&gt;"","○","×")),"")</f>
        <v>○</v>
      </c>
      <c r="O48" s="166"/>
      <c r="U48" s="376">
        <v>202409</v>
      </c>
    </row>
    <row r="49" spans="1:15" ht="42" customHeight="1" thickBot="1">
      <c r="A49" s="336">
        <v>49</v>
      </c>
      <c r="C49" s="989"/>
      <c r="D49" s="989"/>
      <c r="E49" s="989"/>
      <c r="F49" s="989"/>
      <c r="H49" s="393" t="s">
        <v>662</v>
      </c>
      <c r="I49" s="396" t="s">
        <v>649</v>
      </c>
      <c r="J49" s="111" t="s">
        <v>1938</v>
      </c>
      <c r="K49" s="395"/>
      <c r="M49" s="356" t="str">
        <f t="shared" ref="M49:M50" si="5">+IF($J$47="はい",IF(ISBLANK(J49),"未入力あり",IF(J49&lt;&gt;"","○","×")),"")</f>
        <v>○</v>
      </c>
      <c r="O49" s="166"/>
    </row>
    <row r="50" spans="1:15" ht="14.25" thickBot="1">
      <c r="A50" s="336">
        <v>50</v>
      </c>
      <c r="C50" s="989"/>
      <c r="D50" s="989"/>
      <c r="E50" s="989"/>
      <c r="F50" s="989"/>
      <c r="H50" s="397" t="s">
        <v>663</v>
      </c>
      <c r="I50" s="398" t="s">
        <v>649</v>
      </c>
      <c r="J50" s="75" t="s">
        <v>1936</v>
      </c>
      <c r="K50" s="399"/>
      <c r="M50" s="356" t="str">
        <f t="shared" si="5"/>
        <v>○</v>
      </c>
      <c r="O50" s="166"/>
    </row>
    <row r="51" spans="1:15" ht="14.25" thickBot="1">
      <c r="A51" s="336">
        <v>51</v>
      </c>
      <c r="C51" s="989"/>
      <c r="D51" s="989"/>
      <c r="E51" s="989"/>
      <c r="F51" s="380" t="s">
        <v>664</v>
      </c>
      <c r="G51" s="381"/>
      <c r="H51" s="68" t="s">
        <v>665</v>
      </c>
      <c r="I51" s="400" t="str">
        <f>+IF(AND($H$3="地域がん診療病院",OR($H$4="地域がん診療病院",$H$4="地域がん診療病院(特例型)",$H$4="新規指定推薦")),"-","C")</f>
        <v>C</v>
      </c>
      <c r="J51" s="75" t="s">
        <v>1936</v>
      </c>
      <c r="K51" s="401"/>
      <c r="M51" s="356" t="str">
        <f>IF(AND(I51="C",J51=""),"未入力あり",IF(AND(I51="C",J51&lt;&gt;""),"〇",IF(I51="-","")))</f>
        <v>〇</v>
      </c>
      <c r="O51" s="166"/>
    </row>
    <row r="52" spans="1:15" ht="14.25" thickBot="1">
      <c r="A52" s="336">
        <v>52</v>
      </c>
      <c r="C52" s="989"/>
      <c r="D52" s="989"/>
      <c r="E52" s="989"/>
      <c r="F52" s="380" t="s">
        <v>666</v>
      </c>
      <c r="G52" s="381"/>
      <c r="H52" s="68" t="s">
        <v>667</v>
      </c>
      <c r="I52" s="382" t="str">
        <f>+IF(AND($H$3="地域がん診療病院",OR($H$4="地域がん診療病院",$H$4="地域がん診療病院(特例型)",$H$4="新規指定推薦")),"-","A")</f>
        <v>A</v>
      </c>
      <c r="J52" s="75" t="s">
        <v>1936</v>
      </c>
      <c r="K52" s="383"/>
      <c r="M52" s="356" t="str">
        <f>+IF(I52="A",IF(ISBLANK(J52),"未入力あり",IF(J52="はい","○","×")),"")</f>
        <v>○</v>
      </c>
      <c r="O52" s="166"/>
    </row>
    <row r="53" spans="1:15" ht="14.25" thickBot="1">
      <c r="A53" s="336">
        <v>53</v>
      </c>
      <c r="C53" s="989"/>
      <c r="D53" s="989"/>
      <c r="E53" s="362"/>
      <c r="F53" s="362" t="s">
        <v>668</v>
      </c>
      <c r="G53" s="358"/>
      <c r="H53" s="402" t="s">
        <v>669</v>
      </c>
      <c r="I53" s="403" t="str">
        <f>+IF(AND($H$3="地域がん診療病院",OR($H$4="地域がん診療病院",$H$4="地域がん診療病院(特例型)",$H$4="新規指定推薦")),"-","A")</f>
        <v>A</v>
      </c>
      <c r="J53" s="75" t="s">
        <v>1936</v>
      </c>
      <c r="K53" s="392"/>
      <c r="M53" s="356" t="str">
        <f t="shared" ref="M53:M113" si="6">+IF(I53="A",IF(ISBLANK(J53),"未入力あり",IF(J53="はい","○","×")),"")</f>
        <v>○</v>
      </c>
      <c r="O53" s="166"/>
    </row>
    <row r="54" spans="1:15" ht="14.25" thickBot="1">
      <c r="A54" s="336">
        <v>54</v>
      </c>
      <c r="C54" s="989"/>
      <c r="D54" s="989"/>
      <c r="E54" s="1073" t="s">
        <v>670</v>
      </c>
      <c r="F54" s="1074" t="s">
        <v>671</v>
      </c>
      <c r="G54" s="1075"/>
      <c r="H54" s="1076"/>
      <c r="I54" s="1077"/>
      <c r="J54" s="1076"/>
      <c r="K54" s="1078"/>
      <c r="O54" s="166"/>
    </row>
    <row r="55" spans="1:15" ht="27.75" thickBot="1">
      <c r="A55" s="336">
        <v>55</v>
      </c>
      <c r="C55" s="989"/>
      <c r="D55" s="989"/>
      <c r="E55" s="989"/>
      <c r="F55" s="1079" t="s">
        <v>614</v>
      </c>
      <c r="G55" s="1080"/>
      <c r="H55" s="1081" t="s">
        <v>672</v>
      </c>
      <c r="I55" s="1082" t="str">
        <f t="shared" ref="I55:I68" si="7">+IF(AND($H$3="地域がん診療病院",OR($H$4="地域がん診療病院",$H$4="地域がん診療病院(特例型)",$H$4="新規指定推薦")),"-","A")</f>
        <v>A</v>
      </c>
      <c r="J55" s="75" t="s">
        <v>1936</v>
      </c>
      <c r="K55" s="1066"/>
      <c r="M55" s="356" t="str">
        <f t="shared" si="6"/>
        <v>○</v>
      </c>
      <c r="O55" s="166"/>
    </row>
    <row r="56" spans="1:15" ht="27.75" thickBot="1">
      <c r="A56" s="336">
        <v>56</v>
      </c>
      <c r="C56" s="989"/>
      <c r="D56" s="989"/>
      <c r="E56" s="989"/>
      <c r="F56" s="1079" t="s">
        <v>619</v>
      </c>
      <c r="G56" s="1080"/>
      <c r="H56" s="1081" t="s">
        <v>673</v>
      </c>
      <c r="I56" s="1082" t="str">
        <f t="shared" si="7"/>
        <v>A</v>
      </c>
      <c r="J56" s="75" t="s">
        <v>1936</v>
      </c>
      <c r="K56" s="1066"/>
      <c r="M56" s="356" t="str">
        <f t="shared" si="6"/>
        <v>○</v>
      </c>
      <c r="O56" s="166"/>
    </row>
    <row r="57" spans="1:15" ht="27.75" thickBot="1">
      <c r="A57" s="336">
        <v>57</v>
      </c>
      <c r="C57" s="989"/>
      <c r="D57" s="989"/>
      <c r="E57" s="989"/>
      <c r="F57" s="362"/>
      <c r="G57" s="358"/>
      <c r="H57" s="359" t="s">
        <v>674</v>
      </c>
      <c r="I57" s="360" t="str">
        <f t="shared" si="7"/>
        <v>A</v>
      </c>
      <c r="J57" s="75" t="s">
        <v>1936</v>
      </c>
      <c r="K57" s="361"/>
      <c r="M57" s="356" t="str">
        <f t="shared" si="6"/>
        <v>○</v>
      </c>
      <c r="O57" s="166"/>
    </row>
    <row r="58" spans="1:15" ht="27.75" thickBot="1">
      <c r="A58" s="336">
        <v>58</v>
      </c>
      <c r="C58" s="989"/>
      <c r="D58" s="989"/>
      <c r="E58" s="989"/>
      <c r="F58" s="989" t="s">
        <v>627</v>
      </c>
      <c r="H58" s="364" t="s">
        <v>675</v>
      </c>
      <c r="I58" s="365" t="str">
        <f t="shared" si="7"/>
        <v>A</v>
      </c>
      <c r="J58" s="75" t="s">
        <v>1936</v>
      </c>
      <c r="K58" s="366" t="s">
        <v>676</v>
      </c>
      <c r="M58" s="356" t="str">
        <f t="shared" si="6"/>
        <v>○</v>
      </c>
      <c r="O58" s="166"/>
    </row>
    <row r="59" spans="1:15" ht="27.75" thickBot="1">
      <c r="A59" s="336">
        <v>59</v>
      </c>
      <c r="C59" s="989"/>
      <c r="D59" s="989"/>
      <c r="E59" s="989"/>
      <c r="F59" s="989"/>
      <c r="G59" s="367" t="s">
        <v>621</v>
      </c>
      <c r="H59" s="368" t="s">
        <v>677</v>
      </c>
      <c r="I59" s="369" t="str">
        <f t="shared" si="7"/>
        <v>A</v>
      </c>
      <c r="J59" s="75" t="s">
        <v>1936</v>
      </c>
      <c r="K59" s="366" t="s">
        <v>676</v>
      </c>
      <c r="M59" s="356" t="str">
        <f t="shared" si="6"/>
        <v>○</v>
      </c>
      <c r="O59" s="166"/>
    </row>
    <row r="60" spans="1:15" ht="27.75" thickBot="1">
      <c r="A60" s="336">
        <v>60</v>
      </c>
      <c r="C60" s="989"/>
      <c r="D60" s="989"/>
      <c r="E60" s="989"/>
      <c r="F60" s="989"/>
      <c r="G60" s="377" t="s">
        <v>623</v>
      </c>
      <c r="H60" s="368" t="s">
        <v>678</v>
      </c>
      <c r="I60" s="369" t="str">
        <f t="shared" si="7"/>
        <v>A</v>
      </c>
      <c r="J60" s="75" t="s">
        <v>1936</v>
      </c>
      <c r="K60" s="366" t="s">
        <v>676</v>
      </c>
      <c r="M60" s="356" t="str">
        <f t="shared" si="6"/>
        <v>○</v>
      </c>
      <c r="O60" s="166"/>
    </row>
    <row r="61" spans="1:15" ht="14.25" thickBot="1">
      <c r="A61" s="336">
        <v>61</v>
      </c>
      <c r="C61" s="989"/>
      <c r="D61" s="989"/>
      <c r="E61" s="989"/>
      <c r="F61" s="989"/>
      <c r="G61" s="404"/>
      <c r="H61" s="405" t="s">
        <v>679</v>
      </c>
      <c r="I61" s="406" t="str">
        <f t="shared" si="7"/>
        <v>A</v>
      </c>
      <c r="J61" s="75" t="s">
        <v>1936</v>
      </c>
      <c r="K61" s="407"/>
      <c r="M61" s="356" t="str">
        <f t="shared" si="6"/>
        <v>○</v>
      </c>
      <c r="O61" s="166"/>
    </row>
    <row r="62" spans="1:15" ht="14.25" thickBot="1">
      <c r="A62" s="336">
        <v>62</v>
      </c>
      <c r="C62" s="989"/>
      <c r="D62" s="989"/>
      <c r="E62" s="989"/>
      <c r="F62" s="1079" t="s">
        <v>639</v>
      </c>
      <c r="G62" s="1080"/>
      <c r="H62" s="1081" t="s">
        <v>680</v>
      </c>
      <c r="I62" s="1082" t="str">
        <f t="shared" si="7"/>
        <v>A</v>
      </c>
      <c r="J62" s="75" t="s">
        <v>1936</v>
      </c>
      <c r="K62" s="1066" t="s">
        <v>681</v>
      </c>
      <c r="M62" s="356" t="str">
        <f t="shared" si="6"/>
        <v>○</v>
      </c>
      <c r="O62" s="166"/>
    </row>
    <row r="63" spans="1:15" ht="14.25" thickBot="1">
      <c r="A63" s="336">
        <v>63</v>
      </c>
      <c r="C63" s="989"/>
      <c r="D63" s="989"/>
      <c r="E63" s="989"/>
      <c r="F63" s="989"/>
      <c r="H63" s="408" t="s">
        <v>682</v>
      </c>
      <c r="I63" s="409" t="str">
        <f t="shared" si="7"/>
        <v>A</v>
      </c>
      <c r="J63" s="75" t="s">
        <v>1936</v>
      </c>
      <c r="K63" s="410"/>
      <c r="M63" s="356" t="str">
        <f t="shared" si="6"/>
        <v>○</v>
      </c>
      <c r="O63" s="166"/>
    </row>
    <row r="64" spans="1:15" ht="14.25" thickBot="1">
      <c r="A64" s="336">
        <v>64</v>
      </c>
      <c r="C64" s="989"/>
      <c r="D64" s="989"/>
      <c r="E64" s="989"/>
      <c r="F64" s="362"/>
      <c r="G64" s="358"/>
      <c r="H64" s="402" t="s">
        <v>683</v>
      </c>
      <c r="I64" s="403" t="str">
        <f t="shared" si="7"/>
        <v>A</v>
      </c>
      <c r="J64" s="75" t="s">
        <v>1936</v>
      </c>
      <c r="K64" s="392"/>
      <c r="M64" s="356" t="str">
        <f t="shared" si="6"/>
        <v>○</v>
      </c>
      <c r="O64" s="166"/>
    </row>
    <row r="65" spans="1:15" ht="27.75" thickBot="1">
      <c r="A65" s="336">
        <v>65</v>
      </c>
      <c r="C65" s="989"/>
      <c r="D65" s="989"/>
      <c r="E65" s="989"/>
      <c r="F65" s="989" t="s">
        <v>642</v>
      </c>
      <c r="H65" s="1081" t="s">
        <v>684</v>
      </c>
      <c r="I65" s="1082" t="str">
        <f t="shared" si="7"/>
        <v>A</v>
      </c>
      <c r="J65" s="75" t="s">
        <v>1936</v>
      </c>
      <c r="K65" s="1066"/>
      <c r="M65" s="356" t="str">
        <f t="shared" si="6"/>
        <v>○</v>
      </c>
      <c r="O65" s="166"/>
    </row>
    <row r="66" spans="1:15" ht="14.25" thickBot="1">
      <c r="A66" s="336">
        <v>66</v>
      </c>
      <c r="C66" s="989"/>
      <c r="D66" s="989"/>
      <c r="E66" s="989"/>
      <c r="F66" s="989"/>
      <c r="H66" s="359" t="s">
        <v>685</v>
      </c>
      <c r="I66" s="360" t="str">
        <f t="shared" si="7"/>
        <v>A</v>
      </c>
      <c r="J66" s="75" t="s">
        <v>1936</v>
      </c>
      <c r="K66" s="361"/>
      <c r="M66" s="356" t="str">
        <f t="shared" si="6"/>
        <v>○</v>
      </c>
      <c r="O66" s="166"/>
    </row>
    <row r="67" spans="1:15" ht="14.25" thickBot="1">
      <c r="A67" s="336">
        <v>67</v>
      </c>
      <c r="C67" s="989"/>
      <c r="D67" s="989"/>
      <c r="E67" s="989"/>
      <c r="F67" s="1079" t="s">
        <v>659</v>
      </c>
      <c r="G67" s="1080"/>
      <c r="H67" s="364" t="s">
        <v>686</v>
      </c>
      <c r="I67" s="365" t="str">
        <f t="shared" si="7"/>
        <v>A</v>
      </c>
      <c r="J67" s="75" t="s">
        <v>1936</v>
      </c>
      <c r="K67" s="366"/>
      <c r="M67" s="356" t="str">
        <f t="shared" si="6"/>
        <v>○</v>
      </c>
      <c r="O67" s="166"/>
    </row>
    <row r="68" spans="1:15" ht="27.75" thickBot="1">
      <c r="A68" s="336">
        <v>68</v>
      </c>
      <c r="C68" s="989"/>
      <c r="D68" s="989"/>
      <c r="E68" s="989"/>
      <c r="F68" s="989"/>
      <c r="G68" s="367" t="s">
        <v>621</v>
      </c>
      <c r="H68" s="368" t="s">
        <v>687</v>
      </c>
      <c r="I68" s="369" t="str">
        <f t="shared" si="7"/>
        <v>A</v>
      </c>
      <c r="J68" s="75" t="s">
        <v>1936</v>
      </c>
      <c r="K68" s="370"/>
      <c r="M68" s="356" t="str">
        <f t="shared" si="6"/>
        <v>○</v>
      </c>
      <c r="O68" s="166"/>
    </row>
    <row r="69" spans="1:15" ht="27.75" thickBot="1">
      <c r="A69" s="336">
        <v>69</v>
      </c>
      <c r="C69" s="989"/>
      <c r="D69" s="989"/>
      <c r="E69" s="989"/>
      <c r="F69" s="362"/>
      <c r="G69" s="371" t="s">
        <v>623</v>
      </c>
      <c r="H69" s="372" t="s">
        <v>688</v>
      </c>
      <c r="I69" s="373" t="str">
        <f>+IF(AND($H$3="地域がん診療病院",OR($H$4="地域がん診療病院",$H$4="地域がん診療病院(特例型)",$H$4="新規指定推薦")),"-","C")</f>
        <v>C</v>
      </c>
      <c r="J69" s="75" t="s">
        <v>1936</v>
      </c>
      <c r="K69" s="374" t="s">
        <v>689</v>
      </c>
      <c r="M69" s="356" t="str">
        <f>IF(AND(I69="C",J69=""),"未入力あり",IF(AND(I69="C",J69&lt;&gt;""),"〇",IF(I69="-","")))</f>
        <v>〇</v>
      </c>
      <c r="O69" s="166"/>
    </row>
    <row r="70" spans="1:15" ht="41.25" thickBot="1">
      <c r="A70" s="336">
        <v>70</v>
      </c>
      <c r="C70" s="989"/>
      <c r="D70" s="989"/>
      <c r="E70" s="989"/>
      <c r="F70" s="989" t="s">
        <v>664</v>
      </c>
      <c r="H70" s="68" t="s">
        <v>690</v>
      </c>
      <c r="I70" s="382" t="str">
        <f t="shared" ref="I70:I75" si="8">+IF(AND($H$3="地域がん診療病院",OR($H$4="地域がん診療病院",$H$4="地域がん診療病院(特例型)",$H$4="新規指定推薦")),"-","A")</f>
        <v>A</v>
      </c>
      <c r="J70" s="75" t="s">
        <v>1936</v>
      </c>
      <c r="K70" s="383" t="s">
        <v>691</v>
      </c>
      <c r="M70" s="356" t="str">
        <f t="shared" si="6"/>
        <v>○</v>
      </c>
      <c r="O70" s="166"/>
    </row>
    <row r="71" spans="1:15" ht="27.75" thickBot="1">
      <c r="A71" s="336">
        <v>71</v>
      </c>
      <c r="C71" s="989"/>
      <c r="D71" s="989"/>
      <c r="E71" s="989"/>
      <c r="F71" s="380" t="s">
        <v>666</v>
      </c>
      <c r="G71" s="381"/>
      <c r="H71" s="68" t="s">
        <v>692</v>
      </c>
      <c r="I71" s="382" t="str">
        <f t="shared" si="8"/>
        <v>A</v>
      </c>
      <c r="J71" s="75" t="s">
        <v>1936</v>
      </c>
      <c r="K71" s="383"/>
      <c r="M71" s="356" t="str">
        <f t="shared" si="6"/>
        <v>○</v>
      </c>
      <c r="O71" s="166"/>
    </row>
    <row r="72" spans="1:15" ht="27.75" thickBot="1">
      <c r="A72" s="336">
        <v>72</v>
      </c>
      <c r="C72" s="989"/>
      <c r="D72" s="989"/>
      <c r="E72" s="989"/>
      <c r="F72" s="989" t="s">
        <v>668</v>
      </c>
      <c r="H72" s="68" t="s">
        <v>693</v>
      </c>
      <c r="I72" s="382" t="str">
        <f t="shared" si="8"/>
        <v>A</v>
      </c>
      <c r="J72" s="75" t="s">
        <v>1936</v>
      </c>
      <c r="K72" s="383"/>
      <c r="M72" s="356" t="str">
        <f t="shared" si="6"/>
        <v>○</v>
      </c>
      <c r="O72" s="166"/>
    </row>
    <row r="73" spans="1:15" ht="14.25" thickBot="1">
      <c r="A73" s="336">
        <v>73</v>
      </c>
      <c r="C73" s="989"/>
      <c r="D73" s="989"/>
      <c r="E73" s="989"/>
      <c r="F73" s="1079" t="s">
        <v>694</v>
      </c>
      <c r="G73" s="1080"/>
      <c r="H73" s="364" t="s">
        <v>695</v>
      </c>
      <c r="I73" s="365" t="str">
        <f t="shared" si="8"/>
        <v>A</v>
      </c>
      <c r="J73" s="75" t="s">
        <v>1936</v>
      </c>
      <c r="K73" s="366" t="s">
        <v>696</v>
      </c>
      <c r="M73" s="356" t="str">
        <f t="shared" si="6"/>
        <v>○</v>
      </c>
      <c r="O73" s="166"/>
    </row>
    <row r="74" spans="1:15" ht="14.25" thickBot="1">
      <c r="A74" s="336">
        <v>74</v>
      </c>
      <c r="C74" s="989"/>
      <c r="D74" s="989"/>
      <c r="E74" s="989"/>
      <c r="F74" s="989"/>
      <c r="G74" s="377" t="s">
        <v>621</v>
      </c>
      <c r="H74" s="411" t="s">
        <v>697</v>
      </c>
      <c r="I74" s="412" t="str">
        <f t="shared" si="8"/>
        <v>A</v>
      </c>
      <c r="J74" s="75" t="s">
        <v>1936</v>
      </c>
      <c r="K74" s="413"/>
      <c r="M74" s="356" t="str">
        <f>+IF(I74="A",IF(ISBLANK(J74),"未入力あり",IF(J74="はい","○","×")),"")</f>
        <v>○</v>
      </c>
      <c r="O74" s="166"/>
    </row>
    <row r="75" spans="1:15" ht="27.75" thickBot="1">
      <c r="A75" s="336">
        <v>75</v>
      </c>
      <c r="C75" s="989"/>
      <c r="D75" s="989"/>
      <c r="E75" s="989"/>
      <c r="F75" s="989"/>
      <c r="G75" s="414"/>
      <c r="H75" s="411" t="s">
        <v>698</v>
      </c>
      <c r="I75" s="415" t="str">
        <f t="shared" si="8"/>
        <v>A</v>
      </c>
      <c r="J75" s="336" t="str">
        <f>+IF(AND(ISBLANK(J76),ISBLANK(J77)),"",IF(OR(J76="はい",J77="はい"),"はい","いいえ "))</f>
        <v>はい</v>
      </c>
      <c r="K75" s="413" t="s">
        <v>699</v>
      </c>
      <c r="M75" s="356" t="str">
        <f>+IF(I75="A",IF(AND(ISBLANK(J76),ISBLANK(J77)),"未入力あり",IF(J75="はい","○","×")),"")</f>
        <v>○</v>
      </c>
      <c r="O75" s="166"/>
    </row>
    <row r="76" spans="1:15" ht="14.25" thickBot="1">
      <c r="A76" s="336">
        <v>76</v>
      </c>
      <c r="C76" s="989"/>
      <c r="D76" s="989"/>
      <c r="E76" s="989"/>
      <c r="F76" s="989"/>
      <c r="G76" s="414"/>
      <c r="H76" s="416" t="s">
        <v>700</v>
      </c>
      <c r="I76" s="417" t="s">
        <v>645</v>
      </c>
      <c r="J76" s="75" t="s">
        <v>1936</v>
      </c>
      <c r="K76" s="395"/>
      <c r="M76" s="356" t="str">
        <f>+IF(AND($H$3="地域がん診療病院",OR($H$4="地域がん診療病院",$H$4="地域がん診療病院(特例型)",$H$4="新規指定推薦")),"",IF(ISBLANK(J76),"未入力あり","〇"))</f>
        <v>〇</v>
      </c>
      <c r="O76" s="166"/>
    </row>
    <row r="77" spans="1:15" ht="14.25" thickBot="1">
      <c r="A77" s="336">
        <v>77</v>
      </c>
      <c r="C77" s="989"/>
      <c r="D77" s="989"/>
      <c r="E77" s="989"/>
      <c r="F77" s="989"/>
      <c r="G77" s="414"/>
      <c r="H77" s="418" t="s">
        <v>701</v>
      </c>
      <c r="I77" s="419" t="s">
        <v>645</v>
      </c>
      <c r="J77" s="75" t="s">
        <v>1936</v>
      </c>
      <c r="K77" s="420"/>
      <c r="M77" s="356" t="str">
        <f>+IF(AND($H$3="地域がん診療病院",OR($H$4="地域がん診療病院",$H$4="地域がん診療病院(特例型)",$H$4="新規指定推薦")),"",IF(ISBLANK(J77),"未入力あり","〇"))</f>
        <v>〇</v>
      </c>
      <c r="O77" s="166"/>
    </row>
    <row r="78" spans="1:15" ht="14.25" thickBot="1">
      <c r="A78" s="336">
        <v>78</v>
      </c>
      <c r="C78" s="989"/>
      <c r="D78" s="989"/>
      <c r="E78" s="989"/>
      <c r="F78" s="989"/>
      <c r="G78" s="414"/>
      <c r="H78" s="368" t="s">
        <v>702</v>
      </c>
      <c r="I78" s="421" t="str">
        <f t="shared" ref="I78:I83" si="9">+IF(AND($H$3="地域がん診療病院",OR($H$4="地域がん診療病院",$H$4="地域がん診療病院(特例型)",$H$4="新規指定推薦")),"-","A")</f>
        <v>A</v>
      </c>
      <c r="J78" s="75" t="s">
        <v>1936</v>
      </c>
      <c r="K78" s="422"/>
      <c r="M78" s="356" t="str">
        <f t="shared" si="6"/>
        <v>○</v>
      </c>
      <c r="O78" s="166"/>
    </row>
    <row r="79" spans="1:15" ht="14.25" thickBot="1">
      <c r="A79" s="336">
        <v>79</v>
      </c>
      <c r="C79" s="989"/>
      <c r="D79" s="989"/>
      <c r="E79" s="989"/>
      <c r="F79" s="989"/>
      <c r="G79" s="377" t="s">
        <v>623</v>
      </c>
      <c r="H79" s="411" t="s">
        <v>703</v>
      </c>
      <c r="I79" s="412" t="str">
        <f t="shared" si="9"/>
        <v>A</v>
      </c>
      <c r="J79" s="75" t="s">
        <v>1936</v>
      </c>
      <c r="K79" s="413"/>
      <c r="M79" s="356" t="str">
        <f t="shared" si="6"/>
        <v>○</v>
      </c>
      <c r="O79" s="166"/>
    </row>
    <row r="80" spans="1:15" ht="27.75" thickBot="1">
      <c r="A80" s="336">
        <v>80</v>
      </c>
      <c r="C80" s="989"/>
      <c r="D80" s="989"/>
      <c r="E80" s="989"/>
      <c r="F80" s="989"/>
      <c r="G80" s="414"/>
      <c r="H80" s="423" t="s">
        <v>704</v>
      </c>
      <c r="I80" s="424" t="str">
        <f t="shared" si="9"/>
        <v>A</v>
      </c>
      <c r="J80" s="75" t="s">
        <v>1936</v>
      </c>
      <c r="K80" s="425"/>
      <c r="M80" s="356" t="str">
        <f t="shared" si="6"/>
        <v>○</v>
      </c>
      <c r="O80" s="166"/>
    </row>
    <row r="81" spans="1:15" ht="14.25" thickBot="1">
      <c r="A81" s="336">
        <v>81</v>
      </c>
      <c r="C81" s="989"/>
      <c r="D81" s="989"/>
      <c r="E81" s="989"/>
      <c r="F81" s="362"/>
      <c r="G81" s="404"/>
      <c r="H81" s="426" t="s">
        <v>705</v>
      </c>
      <c r="I81" s="427" t="str">
        <f t="shared" si="9"/>
        <v>A</v>
      </c>
      <c r="J81" s="75" t="s">
        <v>1936</v>
      </c>
      <c r="K81" s="428"/>
      <c r="M81" s="356" t="str">
        <f t="shared" si="6"/>
        <v>○</v>
      </c>
      <c r="O81" s="166"/>
    </row>
    <row r="82" spans="1:15" ht="27.75" thickBot="1">
      <c r="A82" s="336">
        <v>82</v>
      </c>
      <c r="C82" s="989"/>
      <c r="D82" s="989"/>
      <c r="E82" s="989"/>
      <c r="F82" s="1079" t="s">
        <v>706</v>
      </c>
      <c r="G82" s="1080"/>
      <c r="H82" s="1081" t="s">
        <v>707</v>
      </c>
      <c r="I82" s="1082" t="str">
        <f t="shared" si="9"/>
        <v>A</v>
      </c>
      <c r="J82" s="75" t="s">
        <v>1936</v>
      </c>
      <c r="K82" s="1066" t="s">
        <v>708</v>
      </c>
      <c r="M82" s="356" t="str">
        <f t="shared" si="6"/>
        <v>○</v>
      </c>
      <c r="O82" s="166"/>
    </row>
    <row r="83" spans="1:15" ht="14.25" thickBot="1">
      <c r="A83" s="336">
        <v>83</v>
      </c>
      <c r="C83" s="989"/>
      <c r="D83" s="989"/>
      <c r="E83" s="362"/>
      <c r="F83" s="362"/>
      <c r="G83" s="358"/>
      <c r="H83" s="359" t="s">
        <v>709</v>
      </c>
      <c r="I83" s="363" t="str">
        <f t="shared" si="9"/>
        <v>A</v>
      </c>
      <c r="J83" s="75" t="s">
        <v>1936</v>
      </c>
      <c r="K83" s="361"/>
      <c r="M83" s="356" t="str">
        <f t="shared" si="6"/>
        <v>○</v>
      </c>
      <c r="O83" s="166"/>
    </row>
    <row r="84" spans="1:15" ht="14.25" thickBot="1">
      <c r="A84" s="336">
        <v>84</v>
      </c>
      <c r="C84" s="989"/>
      <c r="D84" s="989"/>
      <c r="E84" s="1073" t="s">
        <v>710</v>
      </c>
      <c r="F84" s="1074" t="s">
        <v>711</v>
      </c>
      <c r="G84" s="1075"/>
      <c r="H84" s="1076"/>
      <c r="I84" s="1077"/>
      <c r="J84" s="1076"/>
      <c r="K84" s="1078"/>
      <c r="O84" s="166"/>
    </row>
    <row r="85" spans="1:15" ht="14.25" thickBot="1">
      <c r="A85" s="336">
        <v>85</v>
      </c>
      <c r="C85" s="989"/>
      <c r="D85" s="989"/>
      <c r="E85" s="989"/>
      <c r="F85" s="1079" t="s">
        <v>614</v>
      </c>
      <c r="G85" s="1080"/>
      <c r="H85" s="364" t="s">
        <v>712</v>
      </c>
      <c r="I85" s="365" t="str">
        <f t="shared" ref="I85:I97" si="10">+IF(AND($H$3="地域がん診療病院",OR($H$4="地域がん診療病院",$H$4="地域がん診療病院(特例型)",$H$4="新規指定推薦")),"-","A")</f>
        <v>A</v>
      </c>
      <c r="J85" s="75" t="s">
        <v>1936</v>
      </c>
      <c r="K85" s="366"/>
      <c r="M85" s="356" t="str">
        <f t="shared" si="6"/>
        <v>○</v>
      </c>
      <c r="O85" s="166"/>
    </row>
    <row r="86" spans="1:15" ht="27.75" thickBot="1">
      <c r="A86" s="336">
        <v>86</v>
      </c>
      <c r="C86" s="989"/>
      <c r="D86" s="989"/>
      <c r="E86" s="989"/>
      <c r="F86" s="989"/>
      <c r="G86" s="377" t="s">
        <v>621</v>
      </c>
      <c r="H86" s="411" t="s">
        <v>713</v>
      </c>
      <c r="I86" s="412" t="str">
        <f t="shared" si="10"/>
        <v>A</v>
      </c>
      <c r="J86" s="75" t="s">
        <v>1936</v>
      </c>
      <c r="K86" s="413"/>
      <c r="M86" s="356" t="str">
        <f t="shared" si="6"/>
        <v>○</v>
      </c>
      <c r="O86" s="166"/>
    </row>
    <row r="87" spans="1:15" ht="27.75" thickBot="1">
      <c r="A87" s="336">
        <v>87</v>
      </c>
      <c r="C87" s="989"/>
      <c r="D87" s="989"/>
      <c r="E87" s="989"/>
      <c r="F87" s="989"/>
      <c r="G87" s="377" t="s">
        <v>623</v>
      </c>
      <c r="H87" s="411" t="s">
        <v>714</v>
      </c>
      <c r="I87" s="412" t="str">
        <f t="shared" si="10"/>
        <v>A</v>
      </c>
      <c r="J87" s="75" t="s">
        <v>1936</v>
      </c>
      <c r="K87" s="413"/>
      <c r="M87" s="356" t="str">
        <f t="shared" si="6"/>
        <v>○</v>
      </c>
      <c r="O87" s="166"/>
    </row>
    <row r="88" spans="1:15" ht="27.75" thickBot="1">
      <c r="A88" s="336">
        <v>88</v>
      </c>
      <c r="C88" s="989"/>
      <c r="D88" s="989"/>
      <c r="E88" s="989"/>
      <c r="F88" s="989"/>
      <c r="G88" s="377" t="s">
        <v>625</v>
      </c>
      <c r="H88" s="411" t="s">
        <v>715</v>
      </c>
      <c r="I88" s="412" t="str">
        <f t="shared" si="10"/>
        <v>A</v>
      </c>
      <c r="J88" s="75" t="s">
        <v>1936</v>
      </c>
      <c r="K88" s="413"/>
      <c r="M88" s="356" t="str">
        <f t="shared" si="6"/>
        <v>○</v>
      </c>
      <c r="O88" s="166"/>
    </row>
    <row r="89" spans="1:15" ht="14.25" thickBot="1">
      <c r="A89" s="336">
        <v>89</v>
      </c>
      <c r="C89" s="989"/>
      <c r="D89" s="989"/>
      <c r="E89" s="989"/>
      <c r="F89" s="989"/>
      <c r="G89" s="371" t="s">
        <v>634</v>
      </c>
      <c r="H89" s="372" t="s">
        <v>716</v>
      </c>
      <c r="I89" s="373" t="str">
        <f t="shared" si="10"/>
        <v>A</v>
      </c>
      <c r="J89" s="75" t="s">
        <v>1936</v>
      </c>
      <c r="K89" s="374"/>
      <c r="M89" s="356" t="str">
        <f t="shared" si="6"/>
        <v>○</v>
      </c>
      <c r="O89" s="166"/>
    </row>
    <row r="90" spans="1:15" ht="14.25" thickBot="1">
      <c r="A90" s="336">
        <v>90</v>
      </c>
      <c r="C90" s="989"/>
      <c r="D90" s="989"/>
      <c r="E90" s="989"/>
      <c r="F90" s="380" t="s">
        <v>619</v>
      </c>
      <c r="G90" s="381"/>
      <c r="H90" s="68" t="s">
        <v>717</v>
      </c>
      <c r="I90" s="382" t="str">
        <f t="shared" si="10"/>
        <v>A</v>
      </c>
      <c r="J90" s="75" t="s">
        <v>1936</v>
      </c>
      <c r="K90" s="383"/>
      <c r="M90" s="356" t="str">
        <f t="shared" si="6"/>
        <v>○</v>
      </c>
      <c r="O90" s="166"/>
    </row>
    <row r="91" spans="1:15" ht="14.25" thickBot="1">
      <c r="A91" s="336">
        <v>91</v>
      </c>
      <c r="C91" s="989"/>
      <c r="D91" s="989"/>
      <c r="E91" s="989"/>
      <c r="F91" s="989" t="s">
        <v>627</v>
      </c>
      <c r="H91" s="429" t="s">
        <v>718</v>
      </c>
      <c r="I91" s="430" t="str">
        <f t="shared" si="10"/>
        <v>A</v>
      </c>
      <c r="J91" s="75" t="s">
        <v>1936</v>
      </c>
      <c r="K91" s="401"/>
      <c r="M91" s="356" t="str">
        <f t="shared" si="6"/>
        <v>○</v>
      </c>
      <c r="O91" s="166"/>
    </row>
    <row r="92" spans="1:15" ht="27.75" thickBot="1">
      <c r="A92" s="336">
        <v>92</v>
      </c>
      <c r="C92" s="989"/>
      <c r="D92" s="989"/>
      <c r="E92" s="989"/>
      <c r="F92" s="380" t="s">
        <v>639</v>
      </c>
      <c r="G92" s="381"/>
      <c r="H92" s="68" t="s">
        <v>719</v>
      </c>
      <c r="I92" s="382" t="str">
        <f t="shared" si="10"/>
        <v>A</v>
      </c>
      <c r="J92" s="75" t="s">
        <v>1936</v>
      </c>
      <c r="K92" s="383" t="s">
        <v>720</v>
      </c>
      <c r="M92" s="356" t="str">
        <f t="shared" si="6"/>
        <v>○</v>
      </c>
      <c r="O92" s="166"/>
    </row>
    <row r="93" spans="1:15" ht="27.75" thickBot="1">
      <c r="A93" s="336">
        <v>93</v>
      </c>
      <c r="C93" s="989"/>
      <c r="D93" s="989"/>
      <c r="E93" s="989"/>
      <c r="F93" s="989" t="s">
        <v>642</v>
      </c>
      <c r="H93" s="429" t="s">
        <v>721</v>
      </c>
      <c r="I93" s="430" t="str">
        <f t="shared" si="10"/>
        <v>A</v>
      </c>
      <c r="J93" s="75" t="s">
        <v>1936</v>
      </c>
      <c r="K93" s="401"/>
      <c r="M93" s="356" t="str">
        <f t="shared" si="6"/>
        <v>○</v>
      </c>
      <c r="O93" s="166"/>
    </row>
    <row r="94" spans="1:15" ht="27.75" thickBot="1">
      <c r="A94" s="336">
        <v>94</v>
      </c>
      <c r="C94" s="989"/>
      <c r="D94" s="989"/>
      <c r="E94" s="989"/>
      <c r="F94" s="380" t="s">
        <v>659</v>
      </c>
      <c r="G94" s="381"/>
      <c r="H94" s="68" t="s">
        <v>722</v>
      </c>
      <c r="I94" s="382" t="str">
        <f t="shared" si="10"/>
        <v>A</v>
      </c>
      <c r="J94" s="75" t="s">
        <v>1936</v>
      </c>
      <c r="K94" s="383"/>
      <c r="M94" s="356" t="str">
        <f t="shared" si="6"/>
        <v>○</v>
      </c>
      <c r="O94" s="166"/>
    </row>
    <row r="95" spans="1:15" ht="27.75" thickBot="1">
      <c r="A95" s="336">
        <v>95</v>
      </c>
      <c r="C95" s="989"/>
      <c r="D95" s="989"/>
      <c r="E95" s="989"/>
      <c r="F95" s="989" t="s">
        <v>664</v>
      </c>
      <c r="H95" s="429" t="s">
        <v>723</v>
      </c>
      <c r="I95" s="430" t="str">
        <f t="shared" si="10"/>
        <v>A</v>
      </c>
      <c r="J95" s="75" t="s">
        <v>1936</v>
      </c>
      <c r="K95" s="401"/>
      <c r="M95" s="356" t="str">
        <f t="shared" si="6"/>
        <v>○</v>
      </c>
      <c r="O95" s="166"/>
    </row>
    <row r="96" spans="1:15" ht="27.75" thickBot="1">
      <c r="A96" s="336">
        <v>96</v>
      </c>
      <c r="C96" s="989"/>
      <c r="D96" s="989"/>
      <c r="E96" s="989"/>
      <c r="F96" s="989"/>
      <c r="H96" s="359" t="s">
        <v>724</v>
      </c>
      <c r="I96" s="363" t="str">
        <f t="shared" si="10"/>
        <v>A</v>
      </c>
      <c r="J96" s="75" t="s">
        <v>1936</v>
      </c>
      <c r="K96" s="361"/>
      <c r="M96" s="356" t="str">
        <f t="shared" si="6"/>
        <v>○</v>
      </c>
      <c r="O96" s="166"/>
    </row>
    <row r="97" spans="1:21" ht="27.75" thickBot="1">
      <c r="A97" s="336">
        <v>97</v>
      </c>
      <c r="C97" s="989"/>
      <c r="D97" s="989"/>
      <c r="E97" s="362"/>
      <c r="F97" s="380" t="s">
        <v>666</v>
      </c>
      <c r="G97" s="381"/>
      <c r="H97" s="68" t="s">
        <v>725</v>
      </c>
      <c r="I97" s="382" t="str">
        <f t="shared" si="10"/>
        <v>A</v>
      </c>
      <c r="J97" s="75" t="s">
        <v>1936</v>
      </c>
      <c r="K97" s="383" t="s">
        <v>726</v>
      </c>
      <c r="M97" s="356" t="str">
        <f t="shared" si="6"/>
        <v>○</v>
      </c>
      <c r="O97" s="166"/>
    </row>
    <row r="98" spans="1:21" ht="14.25" thickBot="1">
      <c r="A98" s="336">
        <v>98</v>
      </c>
      <c r="C98" s="989"/>
      <c r="D98" s="989"/>
      <c r="E98" s="1073" t="s">
        <v>727</v>
      </c>
      <c r="F98" s="1074" t="s">
        <v>728</v>
      </c>
      <c r="G98" s="1075"/>
      <c r="H98" s="1076"/>
      <c r="I98" s="1077"/>
      <c r="J98" s="1076"/>
      <c r="K98" s="1078"/>
      <c r="O98" s="166"/>
    </row>
    <row r="99" spans="1:21" ht="27.75" thickBot="1">
      <c r="A99" s="336">
        <v>99</v>
      </c>
      <c r="C99" s="989"/>
      <c r="D99" s="989"/>
      <c r="E99" s="989"/>
      <c r="F99" s="1079" t="s">
        <v>614</v>
      </c>
      <c r="G99" s="1080"/>
      <c r="H99" s="1081" t="s">
        <v>729</v>
      </c>
      <c r="I99" s="1082" t="str">
        <f>+IF(AND($H$3="地域がん診療病院",OR($H$4="地域がん診療病院",$H$4="地域がん診療病院(特例型)",$H$4="新規指定推薦")),"-","A")</f>
        <v>A</v>
      </c>
      <c r="J99" s="75" t="s">
        <v>1936</v>
      </c>
      <c r="K99" s="1066"/>
      <c r="M99" s="356" t="str">
        <f t="shared" si="6"/>
        <v>○</v>
      </c>
      <c r="O99" s="166"/>
    </row>
    <row r="100" spans="1:21" ht="14.25" thickBot="1">
      <c r="A100" s="336">
        <v>100</v>
      </c>
      <c r="C100" s="989"/>
      <c r="D100" s="989"/>
      <c r="E100" s="989"/>
      <c r="F100" s="989"/>
      <c r="H100" s="408" t="s">
        <v>730</v>
      </c>
      <c r="I100" s="431" t="str">
        <f>+IF(AND($H$3="地域がん診療病院",OR($H$4="地域がん診療病院",$H$4="地域がん診療病院(特例型)",$H$4="新規指定推薦")),"-","A")</f>
        <v>A</v>
      </c>
      <c r="J100" s="75" t="s">
        <v>1936</v>
      </c>
      <c r="K100" s="410"/>
      <c r="M100" s="356" t="str">
        <f t="shared" si="6"/>
        <v>○</v>
      </c>
      <c r="O100" s="166"/>
    </row>
    <row r="101" spans="1:21">
      <c r="A101" s="336">
        <v>101</v>
      </c>
      <c r="C101" s="989"/>
      <c r="D101" s="989"/>
      <c r="E101" s="989"/>
      <c r="F101" s="362"/>
      <c r="G101" s="379"/>
      <c r="H101" s="432" t="s">
        <v>731</v>
      </c>
      <c r="I101" s="433" t="s">
        <v>645</v>
      </c>
      <c r="J101" s="335">
        <v>47</v>
      </c>
      <c r="K101" s="434"/>
      <c r="M101" s="356" t="str">
        <f>+IF(AND($H$3="地域がん診療病院",OR($H$4="地域がん診療病院",$H$4="地域がん診療病院(特例型)",$H$4="新規指定推薦")),"",IF(ISBLANK(J101),"未入力あり","〇"))</f>
        <v>〇</v>
      </c>
      <c r="O101" s="166"/>
      <c r="T101" s="375">
        <v>0</v>
      </c>
      <c r="U101" s="435">
        <v>500</v>
      </c>
    </row>
    <row r="102" spans="1:21" ht="27.75" thickBot="1">
      <c r="A102" s="336">
        <v>102</v>
      </c>
      <c r="C102" s="989"/>
      <c r="D102" s="989"/>
      <c r="E102" s="989"/>
      <c r="F102" s="1079" t="s">
        <v>732</v>
      </c>
      <c r="G102" s="1080"/>
      <c r="H102" s="1081" t="s">
        <v>733</v>
      </c>
      <c r="I102" s="1082" t="str">
        <f>+IF(AND($H$3="地域がん診療病院",OR($H$4="地域がん診療病院",$H$4="地域がん診療病院(特例型)",$H$4="新規指定推薦")),"-","A")</f>
        <v>A</v>
      </c>
      <c r="J102" s="75" t="s">
        <v>1936</v>
      </c>
      <c r="K102" s="1066"/>
      <c r="M102" s="356" t="str">
        <f t="shared" si="6"/>
        <v>○</v>
      </c>
      <c r="O102" s="166"/>
    </row>
    <row r="103" spans="1:21" ht="14.25" thickBot="1">
      <c r="A103" s="336">
        <v>103</v>
      </c>
      <c r="C103" s="989"/>
      <c r="D103" s="989"/>
      <c r="E103" s="362"/>
      <c r="F103" s="380" t="s">
        <v>734</v>
      </c>
      <c r="G103" s="381"/>
      <c r="H103" s="68" t="s">
        <v>735</v>
      </c>
      <c r="I103" s="382" t="str">
        <f>+IF(AND($H$3="地域がん診療病院",OR($H$4="地域がん診療病院",$H$4="地域がん診療病院(特例型)",$H$4="新規指定推薦")),"-","C")</f>
        <v>C</v>
      </c>
      <c r="J103" s="75" t="s">
        <v>1936</v>
      </c>
      <c r="K103" s="383"/>
      <c r="M103" s="356" t="str">
        <f>IF(AND(I103="C",J103=""),"未入力あり",IF(AND(I103="C",J103&lt;&gt;""),"〇",IF(I103="-","")))</f>
        <v>〇</v>
      </c>
      <c r="O103" s="166"/>
    </row>
    <row r="104" spans="1:21" ht="14.25" thickBot="1">
      <c r="A104" s="336">
        <v>104</v>
      </c>
      <c r="C104" s="989"/>
      <c r="D104" s="989"/>
      <c r="E104" s="1073" t="s">
        <v>736</v>
      </c>
      <c r="F104" s="1074" t="s">
        <v>737</v>
      </c>
      <c r="G104" s="1075"/>
      <c r="H104" s="1076"/>
      <c r="I104" s="1077"/>
      <c r="J104" s="1076"/>
      <c r="K104" s="1078"/>
      <c r="O104" s="166"/>
    </row>
    <row r="105" spans="1:21" ht="27.75" thickBot="1">
      <c r="A105" s="336">
        <v>105</v>
      </c>
      <c r="C105" s="989"/>
      <c r="D105" s="989"/>
      <c r="E105" s="989"/>
      <c r="F105" s="1079" t="s">
        <v>614</v>
      </c>
      <c r="G105" s="1080"/>
      <c r="H105" s="1081" t="s">
        <v>738</v>
      </c>
      <c r="I105" s="1082" t="str">
        <f t="shared" ref="I105:I110" si="11">+IF(AND($H$3="地域がん診療病院",OR($H$4="地域がん診療病院",$H$4="地域がん診療病院(特例型)",$H$4="新規指定推薦")),"-","A")</f>
        <v>A</v>
      </c>
      <c r="J105" s="75" t="s">
        <v>1936</v>
      </c>
      <c r="K105" s="1066"/>
      <c r="M105" s="356" t="str">
        <f t="shared" si="6"/>
        <v>○</v>
      </c>
      <c r="O105" s="166"/>
    </row>
    <row r="106" spans="1:21" ht="14.25" thickBot="1">
      <c r="A106" s="336">
        <v>106</v>
      </c>
      <c r="C106" s="989"/>
      <c r="D106" s="989"/>
      <c r="E106" s="989"/>
      <c r="F106" s="380" t="s">
        <v>619</v>
      </c>
      <c r="G106" s="381"/>
      <c r="H106" s="68" t="s">
        <v>739</v>
      </c>
      <c r="I106" s="382" t="str">
        <f t="shared" si="11"/>
        <v>A</v>
      </c>
      <c r="J106" s="75" t="s">
        <v>1936</v>
      </c>
      <c r="K106" s="383"/>
      <c r="M106" s="356" t="str">
        <f t="shared" si="6"/>
        <v>○</v>
      </c>
      <c r="O106" s="166"/>
    </row>
    <row r="107" spans="1:21" ht="27.75" thickBot="1">
      <c r="A107" s="336">
        <v>107</v>
      </c>
      <c r="C107" s="989"/>
      <c r="D107" s="989"/>
      <c r="E107" s="989"/>
      <c r="F107" s="989" t="s">
        <v>627</v>
      </c>
      <c r="H107" s="429" t="s">
        <v>740</v>
      </c>
      <c r="I107" s="430" t="str">
        <f t="shared" si="11"/>
        <v>A</v>
      </c>
      <c r="J107" s="75" t="s">
        <v>1936</v>
      </c>
      <c r="K107" s="401"/>
      <c r="M107" s="356" t="str">
        <f t="shared" si="6"/>
        <v>○</v>
      </c>
      <c r="O107" s="166"/>
    </row>
    <row r="108" spans="1:21" ht="27.75" thickBot="1">
      <c r="A108" s="336">
        <v>108</v>
      </c>
      <c r="C108" s="989"/>
      <c r="D108" s="989"/>
      <c r="E108" s="989"/>
      <c r="F108" s="989"/>
      <c r="H108" s="408" t="s">
        <v>741</v>
      </c>
      <c r="I108" s="431" t="str">
        <f t="shared" si="11"/>
        <v>A</v>
      </c>
      <c r="J108" s="75" t="s">
        <v>1936</v>
      </c>
      <c r="K108" s="410"/>
      <c r="M108" s="356" t="str">
        <f t="shared" si="6"/>
        <v>○</v>
      </c>
      <c r="O108" s="166"/>
    </row>
    <row r="109" spans="1:21" ht="14.25" thickBot="1">
      <c r="A109" s="336">
        <v>109</v>
      </c>
      <c r="C109" s="989"/>
      <c r="D109" s="989"/>
      <c r="E109" s="989"/>
      <c r="F109" s="989"/>
      <c r="H109" s="429" t="s">
        <v>742</v>
      </c>
      <c r="I109" s="430" t="str">
        <f t="shared" si="11"/>
        <v>A</v>
      </c>
      <c r="J109" s="75" t="s">
        <v>1936</v>
      </c>
      <c r="K109" s="401" t="s">
        <v>743</v>
      </c>
      <c r="M109" s="356" t="str">
        <f t="shared" si="6"/>
        <v>○</v>
      </c>
      <c r="O109" s="166"/>
    </row>
    <row r="110" spans="1:21" ht="68.25" thickBot="1">
      <c r="A110" s="336">
        <v>110</v>
      </c>
      <c r="C110" s="989"/>
      <c r="D110" s="989"/>
      <c r="E110" s="989"/>
      <c r="F110" s="1079" t="s">
        <v>639</v>
      </c>
      <c r="G110" s="1080"/>
      <c r="H110" s="1081" t="s">
        <v>744</v>
      </c>
      <c r="I110" s="1082" t="str">
        <f t="shared" si="11"/>
        <v>A</v>
      </c>
      <c r="J110" s="75" t="s">
        <v>1936</v>
      </c>
      <c r="K110" s="1066" t="s">
        <v>745</v>
      </c>
      <c r="M110" s="356" t="str">
        <f t="shared" si="6"/>
        <v>○</v>
      </c>
      <c r="O110" s="166"/>
    </row>
    <row r="111" spans="1:21" ht="14.25" thickBot="1">
      <c r="A111" s="336">
        <v>111</v>
      </c>
      <c r="C111" s="989"/>
      <c r="D111" s="989"/>
      <c r="E111" s="989"/>
      <c r="F111" s="989"/>
      <c r="H111" s="436" t="s">
        <v>746</v>
      </c>
      <c r="I111" s="437" t="str">
        <f>+IF(AND($H$3="地域がん診療病院",OR($H$4="地域がん診療病院",$H$4="地域がん診療病院(特例型)",$H$4="新規指定推薦")),"-","C")</f>
        <v>C</v>
      </c>
      <c r="J111" s="75" t="s">
        <v>1936</v>
      </c>
      <c r="K111" s="438" t="s">
        <v>747</v>
      </c>
      <c r="M111" s="356" t="str">
        <f>IF(AND(I111="C",J111=""),"未入力あり",IF(AND(I111="C",J111&lt;&gt;""),"〇",IF(I111="-","")))</f>
        <v>〇</v>
      </c>
      <c r="O111" s="166"/>
    </row>
    <row r="112" spans="1:21" ht="27.75" thickBot="1">
      <c r="A112" s="336">
        <v>112</v>
      </c>
      <c r="C112" s="989"/>
      <c r="D112" s="989"/>
      <c r="E112" s="989"/>
      <c r="F112" s="362"/>
      <c r="G112" s="379"/>
      <c r="H112" s="384" t="s">
        <v>748</v>
      </c>
      <c r="I112" s="439" t="s">
        <v>649</v>
      </c>
      <c r="J112" s="335">
        <v>0</v>
      </c>
      <c r="K112" s="386"/>
      <c r="M112" s="356" t="str">
        <f>+IF(AND($H$3="地域がん診療病院",OR($H$4="地域がん診療病院",$H$4="地域がん診療病院(特例型)",$H$4="新規指定推薦")),"",IF(ISBLANK(J112),"未入力あり","〇"))</f>
        <v>〇</v>
      </c>
      <c r="O112" s="166"/>
      <c r="T112" s="375">
        <v>0</v>
      </c>
      <c r="U112" s="376">
        <v>100</v>
      </c>
    </row>
    <row r="113" spans="1:21" ht="14.25" thickBot="1">
      <c r="A113" s="336">
        <v>113</v>
      </c>
      <c r="C113" s="989"/>
      <c r="D113" s="989"/>
      <c r="E113" s="989"/>
      <c r="F113" s="1079" t="s">
        <v>642</v>
      </c>
      <c r="G113" s="1080"/>
      <c r="H113" s="364" t="s">
        <v>749</v>
      </c>
      <c r="I113" s="440" t="str">
        <f>+IF(AND($H$3="地域がん診療病院",OR($H$4="地域がん診療病院",$H$4="地域がん診療病院(特例型)",$H$4="新規指定推薦")),"-","A")</f>
        <v>A</v>
      </c>
      <c r="J113" s="75" t="s">
        <v>1936</v>
      </c>
      <c r="K113" s="366"/>
      <c r="M113" s="356" t="str">
        <f t="shared" si="6"/>
        <v>○</v>
      </c>
      <c r="O113" s="166"/>
    </row>
    <row r="114" spans="1:21" ht="14.25" thickBot="1">
      <c r="A114" s="336">
        <v>114</v>
      </c>
      <c r="C114" s="989"/>
      <c r="D114" s="989"/>
      <c r="E114" s="989"/>
      <c r="F114" s="989"/>
      <c r="G114" s="441"/>
      <c r="H114" s="359" t="s">
        <v>750</v>
      </c>
      <c r="I114" s="363" t="str">
        <f>+IF(AND($H$3="地域がん診療病院",OR($H$4="地域がん診療病院",$H$4="地域がん診療病院(特例型)",$H$4="新規指定推薦")),"-","A")</f>
        <v>A</v>
      </c>
      <c r="J114" s="75" t="s">
        <v>1936</v>
      </c>
      <c r="K114" s="361"/>
      <c r="M114" s="356" t="str">
        <f t="shared" ref="M114" si="12">+IF(I114="A",IF(ISBLANK(J114),"未入力あり",IF(J114="はい","○","×")),"")</f>
        <v>○</v>
      </c>
      <c r="O114" s="166"/>
    </row>
    <row r="115" spans="1:21" ht="14.25" thickBot="1">
      <c r="A115" s="336">
        <v>115</v>
      </c>
      <c r="C115" s="989"/>
      <c r="D115" s="989"/>
      <c r="E115" s="989"/>
      <c r="F115" s="989"/>
      <c r="G115" s="441"/>
      <c r="H115" s="442" t="s">
        <v>751</v>
      </c>
      <c r="I115" s="430" t="s">
        <v>645</v>
      </c>
      <c r="J115" s="75" t="s">
        <v>1936</v>
      </c>
      <c r="K115" s="401" t="s">
        <v>752</v>
      </c>
      <c r="M115" s="356" t="str">
        <f>+IF(AND($H$3="地域がん診療病院",OR($H$4="地域がん診療病院",$H$4="地域がん診療病院(特例型)",$H$4="新規指定推薦")),"",IF(ISBLANK(J115),"未入力あり","〇"))</f>
        <v>〇</v>
      </c>
      <c r="O115" s="166"/>
    </row>
    <row r="116" spans="1:21" ht="14.25" thickBot="1">
      <c r="A116" s="336">
        <v>116</v>
      </c>
      <c r="C116" s="989"/>
      <c r="D116" s="362"/>
      <c r="E116" s="362"/>
      <c r="F116" s="380" t="s">
        <v>659</v>
      </c>
      <c r="G116" s="381"/>
      <c r="H116" s="68" t="s">
        <v>753</v>
      </c>
      <c r="I116" s="400" t="str">
        <f>+IF(AND($H$3="地域がん診療病院",OR($H$4="地域がん診療病院",$H$4="地域がん診療病院(特例型)",$H$4="新規指定推薦")),"-","B")</f>
        <v>B</v>
      </c>
      <c r="J116" s="75" t="s">
        <v>1936</v>
      </c>
      <c r="K116" s="383"/>
      <c r="M116" s="356" t="str">
        <f>IF(AND(I116="B",J116=""),"未入力あり",IF(AND(I116="B",J116&lt;&gt;""),"〇",IF(I116="-","")))</f>
        <v>〇</v>
      </c>
      <c r="O116" s="166"/>
    </row>
    <row r="117" spans="1:21" ht="14.25" thickBot="1">
      <c r="A117" s="336">
        <v>117</v>
      </c>
      <c r="C117" s="989"/>
      <c r="D117" s="1067" t="s">
        <v>754</v>
      </c>
      <c r="E117" s="1068" t="s">
        <v>755</v>
      </c>
      <c r="F117" s="1069"/>
      <c r="G117" s="1069"/>
      <c r="H117" s="1070"/>
      <c r="I117" s="1071"/>
      <c r="J117" s="1070"/>
      <c r="K117" s="1072"/>
      <c r="O117" s="166"/>
    </row>
    <row r="118" spans="1:21" ht="14.25" thickBot="1">
      <c r="A118" s="336">
        <v>118</v>
      </c>
      <c r="C118" s="989"/>
      <c r="D118" s="989"/>
      <c r="E118" s="1073" t="s">
        <v>480</v>
      </c>
      <c r="F118" s="1074" t="s">
        <v>756</v>
      </c>
      <c r="G118" s="1075"/>
      <c r="H118" s="1076"/>
      <c r="I118" s="1077"/>
      <c r="J118" s="1076"/>
      <c r="K118" s="1078"/>
      <c r="O118" s="166"/>
    </row>
    <row r="119" spans="1:21" ht="54.75" thickBot="1">
      <c r="A119" s="336">
        <v>119</v>
      </c>
      <c r="C119" s="989"/>
      <c r="D119" s="989"/>
      <c r="E119" s="989"/>
      <c r="F119" s="1079" t="s">
        <v>614</v>
      </c>
      <c r="G119" s="1080"/>
      <c r="H119" s="1081" t="s">
        <v>757</v>
      </c>
      <c r="I119" s="1082" t="str">
        <f>+IF(AND($H$3="地域がん診療病院",OR($H$4="地域がん診療病院",$H$4="地域がん診療病院(特例型)",$H$4="新規指定推薦")),"-","A")</f>
        <v>A</v>
      </c>
      <c r="J119" s="335">
        <v>33</v>
      </c>
      <c r="K119" s="1066" t="s">
        <v>758</v>
      </c>
      <c r="M119" s="356" t="str">
        <f t="shared" ref="M119:M128" si="13">+IF(I119="A",IF(ISBLANK(J119),"未入力あり",IF(J119&gt;=1,"○","×")),"")</f>
        <v>○</v>
      </c>
      <c r="O119" s="166"/>
      <c r="T119" s="375">
        <v>0</v>
      </c>
      <c r="U119" s="375">
        <v>200</v>
      </c>
    </row>
    <row r="120" spans="1:21" ht="68.25" thickBot="1">
      <c r="A120" s="336">
        <v>120</v>
      </c>
      <c r="C120" s="989"/>
      <c r="D120" s="989"/>
      <c r="E120" s="989"/>
      <c r="F120" s="1079" t="s">
        <v>619</v>
      </c>
      <c r="G120" s="1080"/>
      <c r="H120" s="1081" t="s">
        <v>759</v>
      </c>
      <c r="I120" s="1082" t="str">
        <f>+IF(AND($H$3="地域がん診療病院",OR($H$4="地域がん診療病院",$H$4="地域がん診療病院(特例型)",$H$4="新規指定推薦")),"-","A")</f>
        <v>A</v>
      </c>
      <c r="J120" s="335">
        <v>5</v>
      </c>
      <c r="K120" s="1066" t="s">
        <v>760</v>
      </c>
      <c r="M120" s="356" t="str">
        <f t="shared" si="13"/>
        <v>○</v>
      </c>
      <c r="O120" s="166"/>
      <c r="T120" s="375">
        <v>0</v>
      </c>
      <c r="U120" s="375">
        <v>30</v>
      </c>
    </row>
    <row r="121" spans="1:21" ht="54.75" thickBot="1">
      <c r="A121" s="336">
        <v>121</v>
      </c>
      <c r="C121" s="989"/>
      <c r="D121" s="989"/>
      <c r="E121" s="989"/>
      <c r="F121" s="1079" t="s">
        <v>627</v>
      </c>
      <c r="G121" s="1080"/>
      <c r="H121" s="1081" t="s">
        <v>761</v>
      </c>
      <c r="I121" s="1082" t="str">
        <f>+IF(AND($H$3="地域がん診療病院",OR($H$4="地域がん診療病院",$H$4="地域がん診療病院(特例型)",$H$4="新規指定推薦")),"-","A")</f>
        <v>A</v>
      </c>
      <c r="J121" s="335">
        <v>1</v>
      </c>
      <c r="K121" s="1066" t="s">
        <v>762</v>
      </c>
      <c r="M121" s="356" t="str">
        <f t="shared" si="13"/>
        <v>○</v>
      </c>
      <c r="O121" s="166"/>
      <c r="T121" s="375">
        <v>0</v>
      </c>
      <c r="U121" s="375">
        <v>10</v>
      </c>
    </row>
    <row r="122" spans="1:21" ht="14.25" thickBot="1">
      <c r="A122" s="336">
        <v>122</v>
      </c>
      <c r="C122" s="989"/>
      <c r="D122" s="989"/>
      <c r="E122" s="989"/>
      <c r="F122" s="380" t="s">
        <v>639</v>
      </c>
      <c r="G122" s="381"/>
      <c r="H122" s="68" t="s">
        <v>763</v>
      </c>
      <c r="I122" s="382" t="str">
        <f>+IF(AND($H$3="地域がん診療病院",OR($H$4="地域がん診療病院",$H$4="地域がん診療病院(特例型)",$H$4="新規指定推薦")),"-","A")</f>
        <v>A</v>
      </c>
      <c r="J122" s="335">
        <v>1</v>
      </c>
      <c r="K122" s="383" t="s">
        <v>764</v>
      </c>
      <c r="M122" s="356" t="str">
        <f t="shared" si="13"/>
        <v>○</v>
      </c>
      <c r="O122" s="166"/>
      <c r="T122" s="375">
        <v>0</v>
      </c>
      <c r="U122" s="375">
        <v>30</v>
      </c>
    </row>
    <row r="123" spans="1:21" ht="14.25" thickBot="1">
      <c r="A123" s="336">
        <v>123</v>
      </c>
      <c r="C123" s="989"/>
      <c r="D123" s="989"/>
      <c r="E123" s="989"/>
      <c r="F123" s="1079" t="s">
        <v>642</v>
      </c>
      <c r="G123" s="1080"/>
      <c r="H123" s="1081" t="s">
        <v>765</v>
      </c>
      <c r="I123" s="1082" t="str">
        <f>+IF(AND($H$3="地域がん診療病院",OR($H$4="地域がん診療病院",$H$4="地域がん診療病院(特例型)",$H$4="新規指定推薦")),"-","A")</f>
        <v>A</v>
      </c>
      <c r="J123" s="335">
        <v>1</v>
      </c>
      <c r="K123" s="1066" t="s">
        <v>764</v>
      </c>
      <c r="M123" s="356" t="str">
        <f t="shared" si="13"/>
        <v>○</v>
      </c>
      <c r="O123" s="166"/>
      <c r="T123" s="375">
        <v>0</v>
      </c>
      <c r="U123" s="375">
        <v>10</v>
      </c>
    </row>
    <row r="124" spans="1:21" ht="14.25" thickBot="1">
      <c r="A124" s="336">
        <v>124</v>
      </c>
      <c r="C124" s="989"/>
      <c r="D124" s="989"/>
      <c r="E124" s="989"/>
      <c r="F124" s="989"/>
      <c r="H124" s="393" t="s">
        <v>766</v>
      </c>
      <c r="I124" s="396" t="str">
        <f>+IF(AND($H$3="地域がん診療病院",OR($H$4="地域がん診療病院",$H$4="地域がん診療病院(特例型)",$H$4="新規指定推薦")),"-","C")</f>
        <v>C</v>
      </c>
      <c r="J124" s="335">
        <v>0</v>
      </c>
      <c r="K124" s="395"/>
      <c r="M124" s="356" t="str">
        <f t="shared" ref="M124:M125" si="14">IF(AND(I124="C",J124=""),"未入力あり",IF(AND(I124="C",J124&lt;&gt;""),"〇",IF(I124="-","")))</f>
        <v>〇</v>
      </c>
      <c r="O124" s="166"/>
      <c r="T124" s="375">
        <v>0</v>
      </c>
      <c r="U124" s="375">
        <v>10</v>
      </c>
    </row>
    <row r="125" spans="1:21" ht="27.75" thickBot="1">
      <c r="A125" s="336">
        <v>125</v>
      </c>
      <c r="C125" s="989"/>
      <c r="D125" s="989"/>
      <c r="E125" s="989"/>
      <c r="F125" s="989"/>
      <c r="H125" s="442" t="s">
        <v>767</v>
      </c>
      <c r="I125" s="430" t="str">
        <f>+IF(AND($H$3="地域がん診療病院",OR($H$4="地域がん診療病院",$H$4="地域がん診療病院(特例型)",$H$4="新規指定推薦")),"-","C")</f>
        <v>C</v>
      </c>
      <c r="J125" s="335">
        <v>1</v>
      </c>
      <c r="K125" s="401"/>
      <c r="M125" s="356" t="str">
        <f t="shared" si="14"/>
        <v>〇</v>
      </c>
      <c r="O125" s="166"/>
      <c r="T125" s="375">
        <v>0</v>
      </c>
      <c r="U125" s="375">
        <v>10</v>
      </c>
    </row>
    <row r="126" spans="1:21" ht="14.25" thickBot="1">
      <c r="A126" s="336">
        <v>126</v>
      </c>
      <c r="C126" s="989"/>
      <c r="D126" s="989"/>
      <c r="E126" s="989"/>
      <c r="F126" s="989"/>
      <c r="H126" s="436" t="s">
        <v>768</v>
      </c>
      <c r="I126" s="437" t="str">
        <f>+IF(AND($H$3="地域がん診療病院",OR($H$4="地域がん診療病院",$H$4="地域がん診療病院(特例型)",$H$4="新規指定推薦")),"-","A")</f>
        <v>A</v>
      </c>
      <c r="J126" s="335">
        <v>1</v>
      </c>
      <c r="K126" s="438" t="s">
        <v>764</v>
      </c>
      <c r="M126" s="356" t="str">
        <f t="shared" si="13"/>
        <v>○</v>
      </c>
      <c r="O126" s="166"/>
      <c r="T126" s="375">
        <v>0</v>
      </c>
      <c r="U126" s="375">
        <v>10</v>
      </c>
    </row>
    <row r="127" spans="1:21" ht="14.25" thickBot="1">
      <c r="A127" s="336">
        <v>127</v>
      </c>
      <c r="C127" s="989"/>
      <c r="D127" s="989"/>
      <c r="E127" s="989"/>
      <c r="F127" s="362"/>
      <c r="G127" s="358"/>
      <c r="H127" s="384" t="s">
        <v>769</v>
      </c>
      <c r="I127" s="439" t="str">
        <f>+IF(AND($H$3="地域がん診療病院",OR($H$4="地域がん診療病院",$H$4="地域がん診療病院(特例型)",$H$4="新規指定推薦")),"-","C")</f>
        <v>C</v>
      </c>
      <c r="J127" s="335">
        <v>1</v>
      </c>
      <c r="K127" s="386"/>
      <c r="M127" s="356" t="str">
        <f>IF(AND(I127="C",J127=""),"未入力あり",IF(AND(I127="C",J127&lt;&gt;""),"〇",IF(I127="-","")))</f>
        <v>〇</v>
      </c>
      <c r="O127" s="166"/>
      <c r="T127" s="375">
        <v>0</v>
      </c>
      <c r="U127" s="375">
        <v>10</v>
      </c>
    </row>
    <row r="128" spans="1:21" ht="14.25" thickBot="1">
      <c r="A128" s="336">
        <v>128</v>
      </c>
      <c r="C128" s="989"/>
      <c r="D128" s="989"/>
      <c r="E128" s="989"/>
      <c r="F128" s="362" t="s">
        <v>659</v>
      </c>
      <c r="G128" s="358"/>
      <c r="H128" s="402" t="s">
        <v>770</v>
      </c>
      <c r="I128" s="403" t="str">
        <f>+IF(AND($H$3="地域がん診療病院",OR($H$4="地域がん診療病院",$H$4="地域がん診療病院(特例型)",$H$4="新規指定推薦")),"-","A")</f>
        <v>A</v>
      </c>
      <c r="J128" s="335">
        <v>2</v>
      </c>
      <c r="K128" s="392" t="s">
        <v>764</v>
      </c>
      <c r="M128" s="356" t="str">
        <f t="shared" si="13"/>
        <v>○</v>
      </c>
      <c r="O128" s="166"/>
      <c r="T128" s="375">
        <v>0</v>
      </c>
      <c r="U128" s="375">
        <v>10</v>
      </c>
    </row>
    <row r="129" spans="1:21" ht="14.25" thickBot="1">
      <c r="A129" s="336">
        <v>129</v>
      </c>
      <c r="C129" s="989"/>
      <c r="D129" s="989"/>
      <c r="E129" s="989"/>
      <c r="F129" s="362" t="s">
        <v>664</v>
      </c>
      <c r="G129" s="358"/>
      <c r="H129" s="402" t="s">
        <v>771</v>
      </c>
      <c r="I129" s="403" t="str">
        <f>+IF(AND($H$3="地域がん診療病院",OR($H$4="地域がん診療病院",$H$4="地域がん診療病院(特例型)",$H$4="新規指定推薦")),"-","C")</f>
        <v>C</v>
      </c>
      <c r="J129" s="335">
        <v>1</v>
      </c>
      <c r="K129" s="392"/>
      <c r="M129" s="356" t="str">
        <f>IF(AND(I129="C",J129=""),"未入力あり",IF(AND(I129="C",J129&lt;&gt;""),"〇",IF(I129="-","")))</f>
        <v>〇</v>
      </c>
      <c r="O129" s="166"/>
      <c r="T129" s="375">
        <v>0</v>
      </c>
      <c r="U129" s="376">
        <v>10</v>
      </c>
    </row>
    <row r="130" spans="1:21" ht="14.25" thickBot="1">
      <c r="A130" s="336">
        <v>130</v>
      </c>
      <c r="C130" s="989"/>
      <c r="D130" s="989"/>
      <c r="E130" s="1073" t="s">
        <v>489</v>
      </c>
      <c r="F130" s="1074" t="s">
        <v>772</v>
      </c>
      <c r="G130" s="1075"/>
      <c r="H130" s="1076"/>
      <c r="I130" s="1077"/>
      <c r="J130" s="1076"/>
      <c r="K130" s="1078"/>
      <c r="O130" s="166"/>
    </row>
    <row r="131" spans="1:21" ht="14.25" thickBot="1">
      <c r="A131" s="336">
        <v>131</v>
      </c>
      <c r="C131" s="989"/>
      <c r="D131" s="989"/>
      <c r="E131" s="989"/>
      <c r="F131" s="1079" t="s">
        <v>614</v>
      </c>
      <c r="G131" s="1080"/>
      <c r="H131" s="364" t="s">
        <v>773</v>
      </c>
      <c r="I131" s="365" t="str">
        <f>+IF(AND($H$3="地域がん診療病院",OR($H$4="地域がん診療病院",$H$4="地域がん診療病院(特例型)",$H$4="新規指定推薦")),"-","B")</f>
        <v>B</v>
      </c>
      <c r="J131" s="335">
        <v>6</v>
      </c>
      <c r="K131" s="366" t="s">
        <v>774</v>
      </c>
      <c r="M131" s="356" t="str">
        <f>+IF(I131="B",IF(ISBLANK(J131),"未入力あり",IF(J131&gt;=1,"○","×")),"")</f>
        <v>○</v>
      </c>
      <c r="O131" s="166"/>
      <c r="T131" s="375">
        <v>0</v>
      </c>
      <c r="U131" s="375">
        <v>20</v>
      </c>
    </row>
    <row r="132" spans="1:21" ht="14.25" thickBot="1">
      <c r="A132" s="336">
        <v>132</v>
      </c>
      <c r="C132" s="989"/>
      <c r="D132" s="989"/>
      <c r="E132" s="989"/>
      <c r="F132" s="989"/>
      <c r="H132" s="443" t="s">
        <v>775</v>
      </c>
      <c r="I132" s="360" t="str">
        <f>+IF(AND($H$3="地域がん診療病院",OR($H$4="地域がん診療病院",$H$4="地域がん診療病院(特例型)",$H$4="新規指定推薦")),"-","C")</f>
        <v>C</v>
      </c>
      <c r="J132" s="335">
        <v>2</v>
      </c>
      <c r="K132" s="361"/>
      <c r="M132" s="356" t="str">
        <f>IF(AND(I132="C",J132=""),"未入力あり",IF(AND(I132="C",J132&lt;&gt;""),"〇",IF(I132="-","")))</f>
        <v>〇</v>
      </c>
      <c r="O132" s="166"/>
      <c r="T132" s="375">
        <v>0</v>
      </c>
      <c r="U132" s="375">
        <v>10</v>
      </c>
    </row>
    <row r="133" spans="1:21" ht="27.75" thickBot="1">
      <c r="A133" s="336">
        <v>133</v>
      </c>
      <c r="C133" s="989"/>
      <c r="D133" s="989"/>
      <c r="E133" s="989"/>
      <c r="F133" s="989"/>
      <c r="H133" s="364" t="s">
        <v>776</v>
      </c>
      <c r="I133" s="365" t="str">
        <f>+IF(AND($H$3="地域がん診療病院",OR($H$4="地域がん診療病院",$H$4="地域がん診療病院(特例型)",$H$4="新規指定推薦")),"-","A")</f>
        <v>A</v>
      </c>
      <c r="J133" s="335">
        <v>1</v>
      </c>
      <c r="K133" s="366" t="s">
        <v>777</v>
      </c>
      <c r="M133" s="356" t="str">
        <f>+IF(I133="A",IF(ISBLANK(J133),"未入力あり",IF(J133&gt;=1,"○","×")),"")</f>
        <v>○</v>
      </c>
      <c r="O133" s="166"/>
      <c r="T133" s="375">
        <v>0</v>
      </c>
      <c r="U133" s="375">
        <v>10</v>
      </c>
    </row>
    <row r="134" spans="1:21" ht="14.25" thickBot="1">
      <c r="A134" s="336">
        <v>134</v>
      </c>
      <c r="C134" s="989"/>
      <c r="D134" s="989"/>
      <c r="E134" s="989"/>
      <c r="F134" s="989"/>
      <c r="H134" s="443" t="s">
        <v>778</v>
      </c>
      <c r="I134" s="360" t="str">
        <f>+IF(AND($H$3="地域がん診療病院",OR($H$4="地域がん診療病院",$H$4="地域がん診療病院(特例型)",$H$4="新規指定推薦")),"-","C")</f>
        <v>C</v>
      </c>
      <c r="J134" s="335">
        <v>1</v>
      </c>
      <c r="K134" s="361"/>
      <c r="M134" s="356" t="str">
        <f>IF(AND(I134="C",J134=""),"未入力あり",IF(AND(I134="C",J134&lt;&gt;""),"〇",IF(I134="-","")))</f>
        <v>〇</v>
      </c>
      <c r="O134" s="166"/>
      <c r="T134" s="375">
        <v>0</v>
      </c>
      <c r="U134" s="375">
        <v>10</v>
      </c>
    </row>
    <row r="135" spans="1:21" ht="14.25" thickBot="1">
      <c r="A135" s="336">
        <v>135</v>
      </c>
      <c r="C135" s="989"/>
      <c r="D135" s="989"/>
      <c r="E135" s="989"/>
      <c r="F135" s="989"/>
      <c r="H135" s="364" t="s">
        <v>779</v>
      </c>
      <c r="I135" s="365" t="str">
        <f>+IF(AND($H$3="地域がん診療病院",OR($H$4="地域がん診療病院",$H$4="地域がん診療病院(特例型)",$H$4="新規指定推薦")),"-","A")</f>
        <v>A</v>
      </c>
      <c r="J135" s="335">
        <v>1</v>
      </c>
      <c r="K135" s="366" t="s">
        <v>777</v>
      </c>
      <c r="M135" s="356" t="str">
        <f t="shared" ref="M135:M150" si="15">+IF(I135="A",IF(ISBLANK(J135),"未入力あり",IF(J135&gt;=1,"○","×")),"")</f>
        <v>○</v>
      </c>
      <c r="O135" s="166"/>
      <c r="T135" s="375">
        <v>0</v>
      </c>
      <c r="U135" s="375">
        <v>10</v>
      </c>
    </row>
    <row r="136" spans="1:21" ht="14.25" thickBot="1">
      <c r="A136" s="336">
        <v>136</v>
      </c>
      <c r="C136" s="989"/>
      <c r="D136" s="989"/>
      <c r="E136" s="989"/>
      <c r="F136" s="989"/>
      <c r="H136" s="443" t="s">
        <v>780</v>
      </c>
      <c r="I136" s="360" t="str">
        <f>+IF(AND($H$3="地域がん診療病院",OR($H$4="地域がん診療病院",$H$4="地域がん診療病院(特例型)",$H$4="新規指定推薦")),"-","C")</f>
        <v>C</v>
      </c>
      <c r="J136" s="335">
        <v>1</v>
      </c>
      <c r="K136" s="361"/>
      <c r="M136" s="356" t="str">
        <f>IF(AND(I136="C",J136=""),"未入力あり",IF(AND(I136="C",J136&lt;&gt;""),"〇",IF(I136="-","")))</f>
        <v>〇</v>
      </c>
      <c r="O136" s="166"/>
      <c r="T136" s="375">
        <v>0</v>
      </c>
      <c r="U136" s="375">
        <v>10</v>
      </c>
    </row>
    <row r="137" spans="1:21" ht="14.25" thickBot="1">
      <c r="A137" s="336">
        <v>137</v>
      </c>
      <c r="C137" s="989"/>
      <c r="D137" s="989"/>
      <c r="E137" s="989"/>
      <c r="F137" s="1079" t="s">
        <v>619</v>
      </c>
      <c r="G137" s="1080"/>
      <c r="H137" s="364" t="s">
        <v>781</v>
      </c>
      <c r="I137" s="365" t="str">
        <f>+IF(AND($H$3="地域がん診療病院",OR($H$4="地域がん診療病院",$H$4="地域がん診療病院(特例型)",$H$4="新規指定推薦")),"-","A")</f>
        <v>A</v>
      </c>
      <c r="J137" s="335">
        <v>2</v>
      </c>
      <c r="K137" s="366" t="s">
        <v>777</v>
      </c>
      <c r="M137" s="356" t="str">
        <f t="shared" si="15"/>
        <v>○</v>
      </c>
      <c r="O137" s="166"/>
      <c r="T137" s="375">
        <v>0</v>
      </c>
      <c r="U137" s="375">
        <v>20</v>
      </c>
    </row>
    <row r="138" spans="1:21" ht="14.25" thickBot="1">
      <c r="A138" s="336">
        <v>138</v>
      </c>
      <c r="C138" s="989"/>
      <c r="D138" s="989"/>
      <c r="E138" s="989"/>
      <c r="F138" s="989"/>
      <c r="H138" s="443" t="s">
        <v>782</v>
      </c>
      <c r="I138" s="360" t="str">
        <f>+IF(AND($H$3="地域がん診療病院",OR($H$4="地域がん診療病院",$H$4="地域がん診療病院(特例型)",$H$4="新規指定推薦")),"-","C")</f>
        <v>C</v>
      </c>
      <c r="J138" s="335">
        <v>2</v>
      </c>
      <c r="K138" s="361"/>
      <c r="M138" s="356" t="str">
        <f>IF(AND(I138="C",J138=""),"未入力あり",IF(AND(I138="C",J138&lt;&gt;""),"〇",IF(I138="-","")))</f>
        <v>〇</v>
      </c>
      <c r="O138" s="166"/>
      <c r="T138" s="375">
        <v>0</v>
      </c>
      <c r="U138" s="375">
        <v>10</v>
      </c>
    </row>
    <row r="139" spans="1:21" ht="14.25" thickBot="1">
      <c r="A139" s="336">
        <v>139</v>
      </c>
      <c r="C139" s="989"/>
      <c r="D139" s="989"/>
      <c r="E139" s="989"/>
      <c r="F139" s="989"/>
      <c r="H139" s="364" t="s">
        <v>783</v>
      </c>
      <c r="I139" s="365" t="str">
        <f>+IF(AND($H$3="地域がん診療病院",OR($H$4="地域がん診療病院",$H$4="地域がん診療病院(特例型)",$H$4="新規指定推薦")),"-","A")</f>
        <v>A</v>
      </c>
      <c r="J139" s="335">
        <v>1</v>
      </c>
      <c r="K139" s="366" t="s">
        <v>777</v>
      </c>
      <c r="M139" s="356" t="str">
        <f t="shared" si="15"/>
        <v>○</v>
      </c>
      <c r="O139" s="166"/>
      <c r="T139" s="375">
        <v>0</v>
      </c>
      <c r="U139" s="375">
        <v>20</v>
      </c>
    </row>
    <row r="140" spans="1:21" ht="14.25" thickBot="1">
      <c r="A140" s="336">
        <v>140</v>
      </c>
      <c r="C140" s="989"/>
      <c r="D140" s="989"/>
      <c r="E140" s="989"/>
      <c r="F140" s="989"/>
      <c r="H140" s="443" t="s">
        <v>784</v>
      </c>
      <c r="I140" s="360" t="str">
        <f>+IF(AND($H$3="地域がん診療病院",OR($H$4="地域がん診療病院",$H$4="地域がん診療病院(特例型)",$H$4="新規指定推薦")),"-","C")</f>
        <v>C</v>
      </c>
      <c r="J140" s="335">
        <v>1</v>
      </c>
      <c r="K140" s="361"/>
      <c r="M140" s="356" t="str">
        <f>IF(AND(I140="C",J140=""),"未入力あり",IF(AND(I140="C",J140&lt;&gt;""),"〇",IF(I140="-","")))</f>
        <v>〇</v>
      </c>
      <c r="O140" s="166"/>
      <c r="T140" s="375">
        <v>0</v>
      </c>
      <c r="U140" s="375">
        <v>10</v>
      </c>
    </row>
    <row r="141" spans="1:21" ht="14.25" thickBot="1">
      <c r="A141" s="336">
        <v>141</v>
      </c>
      <c r="C141" s="989"/>
      <c r="D141" s="989"/>
      <c r="E141" s="989"/>
      <c r="F141" s="1079" t="s">
        <v>627</v>
      </c>
      <c r="G141" s="1080"/>
      <c r="H141" s="364" t="s">
        <v>785</v>
      </c>
      <c r="I141" s="365" t="str">
        <f>+IF(AND($H$3="地域がん診療病院",OR($H$4="地域がん診療病院",$H$4="地域がん診療病院(特例型)",$H$4="新規指定推薦")),"-","A")</f>
        <v>A</v>
      </c>
      <c r="J141" s="335">
        <v>1</v>
      </c>
      <c r="K141" s="366" t="s">
        <v>777</v>
      </c>
      <c r="M141" s="356" t="str">
        <f t="shared" si="15"/>
        <v>○</v>
      </c>
      <c r="O141" s="166"/>
      <c r="T141" s="375">
        <v>0</v>
      </c>
      <c r="U141" s="375">
        <v>10</v>
      </c>
    </row>
    <row r="142" spans="1:21" ht="14.25" thickBot="1">
      <c r="A142" s="336">
        <v>142</v>
      </c>
      <c r="C142" s="989"/>
      <c r="D142" s="989"/>
      <c r="E142" s="989"/>
      <c r="F142" s="989"/>
      <c r="H142" s="443" t="s">
        <v>786</v>
      </c>
      <c r="I142" s="360" t="str">
        <f>+IF(AND($H$3="地域がん診療病院",OR($H$4="地域がん診療病院",$H$4="地域がん診療病院(特例型)",$H$4="新規指定推薦")),"-","A")</f>
        <v>A</v>
      </c>
      <c r="J142" s="335">
        <v>1</v>
      </c>
      <c r="K142" s="361" t="s">
        <v>764</v>
      </c>
      <c r="M142" s="356" t="str">
        <f t="shared" si="15"/>
        <v>○</v>
      </c>
      <c r="O142" s="166"/>
      <c r="T142" s="375">
        <v>0</v>
      </c>
      <c r="U142" s="375">
        <v>10</v>
      </c>
    </row>
    <row r="143" spans="1:21" ht="14.25" thickBot="1">
      <c r="A143" s="336">
        <v>143</v>
      </c>
      <c r="C143" s="989"/>
      <c r="D143" s="989"/>
      <c r="E143" s="989"/>
      <c r="F143" s="1079" t="s">
        <v>639</v>
      </c>
      <c r="G143" s="1080"/>
      <c r="H143" s="364" t="s">
        <v>787</v>
      </c>
      <c r="I143" s="365" t="str">
        <f>+IF(AND($H$3="地域がん診療病院",OR($H$4="地域がん診療病院",$H$4="地域がん診療病院(特例型)",$H$4="新規指定推薦")),"-","A")</f>
        <v>A</v>
      </c>
      <c r="J143" s="335">
        <v>4</v>
      </c>
      <c r="K143" s="366" t="s">
        <v>764</v>
      </c>
      <c r="M143" s="356" t="str">
        <f t="shared" si="15"/>
        <v>○</v>
      </c>
      <c r="O143" s="166"/>
      <c r="T143" s="375">
        <v>0</v>
      </c>
      <c r="U143" s="375">
        <v>10</v>
      </c>
    </row>
    <row r="144" spans="1:21" ht="14.25" thickBot="1">
      <c r="A144" s="336">
        <v>144</v>
      </c>
      <c r="C144" s="989"/>
      <c r="D144" s="989"/>
      <c r="E144" s="989"/>
      <c r="F144" s="989"/>
      <c r="H144" s="443" t="s">
        <v>788</v>
      </c>
      <c r="I144" s="360" t="str">
        <f>+IF(AND($H$3="地域がん診療病院",OR($H$4="地域がん診療病院",$H$4="地域がん診療病院(特例型)",$H$4="新規指定推薦")),"-","C")</f>
        <v>C</v>
      </c>
      <c r="J144" s="335">
        <v>3</v>
      </c>
      <c r="K144" s="361"/>
      <c r="M144" s="356" t="str">
        <f>IF(AND(I144="C",J144=""),"未入力あり",IF(AND(I144="C",J144&lt;&gt;""),"〇",IF(I144="-","")))</f>
        <v>〇</v>
      </c>
      <c r="O144" s="166"/>
      <c r="T144" s="375">
        <v>0</v>
      </c>
      <c r="U144" s="375">
        <v>10</v>
      </c>
    </row>
    <row r="145" spans="1:21" ht="14.25" thickBot="1">
      <c r="A145" s="336">
        <v>145</v>
      </c>
      <c r="C145" s="989"/>
      <c r="D145" s="989"/>
      <c r="E145" s="989"/>
      <c r="F145" s="989"/>
      <c r="H145" s="364" t="s">
        <v>789</v>
      </c>
      <c r="I145" s="365" t="str">
        <f>+IF(AND($H$3="地域がん診療病院",OR($H$4="地域がん診療病院",$H$4="地域がん診療病院(特例型)",$H$4="新規指定推薦")),"-","A")</f>
        <v>A</v>
      </c>
      <c r="J145" s="335">
        <v>3</v>
      </c>
      <c r="K145" s="366" t="s">
        <v>764</v>
      </c>
      <c r="M145" s="356" t="str">
        <f t="shared" si="15"/>
        <v>○</v>
      </c>
      <c r="O145" s="166"/>
      <c r="T145" s="375">
        <v>0</v>
      </c>
      <c r="U145" s="375">
        <v>10</v>
      </c>
    </row>
    <row r="146" spans="1:21" ht="14.25" thickBot="1">
      <c r="A146" s="336">
        <v>146</v>
      </c>
      <c r="C146" s="989"/>
      <c r="D146" s="989"/>
      <c r="E146" s="989"/>
      <c r="F146" s="989"/>
      <c r="H146" s="444" t="s">
        <v>790</v>
      </c>
      <c r="I146" s="445" t="str">
        <f>+IF(AND($H$3="地域がん診療病院",OR($H$4="地域がん診療病院",$H$4="地域がん診療病院(特例型)",$H$4="新規指定推薦")),"-","C")</f>
        <v>C</v>
      </c>
      <c r="J146" s="335">
        <v>2</v>
      </c>
      <c r="K146" s="438"/>
      <c r="M146" s="356" t="str">
        <f>IF(AND(I146="C",J146=""),"未入力あり",IF(AND(I146="C",J146&lt;&gt;""),"〇",IF(I146="-","")))</f>
        <v>〇</v>
      </c>
      <c r="O146" s="166"/>
      <c r="T146" s="375">
        <v>0</v>
      </c>
      <c r="U146" s="375">
        <v>10</v>
      </c>
    </row>
    <row r="147" spans="1:21" ht="14.25" thickBot="1">
      <c r="A147" s="336">
        <v>147</v>
      </c>
      <c r="C147" s="989"/>
      <c r="D147" s="989"/>
      <c r="E147" s="989"/>
      <c r="F147" s="362"/>
      <c r="G147" s="379"/>
      <c r="H147" s="446" t="s">
        <v>791</v>
      </c>
      <c r="I147" s="447" t="str">
        <f>+IF(AND($H$3="地域がん診療病院",OR($H$4="地域がん診療病院",$H$4="地域がん診療病院(特例型)",$H$4="新規指定推薦")),"-","C")</f>
        <v>C</v>
      </c>
      <c r="J147" s="335">
        <v>0</v>
      </c>
      <c r="K147" s="448"/>
      <c r="M147" s="356" t="str">
        <f>IF(AND(I147="C",J147=""),"未入力あり",IF(AND(I147="C",J147&lt;&gt;""),"〇",IF(I147="-","")))</f>
        <v>〇</v>
      </c>
      <c r="O147" s="166"/>
      <c r="T147" s="375">
        <v>0</v>
      </c>
      <c r="U147" s="375">
        <v>10</v>
      </c>
    </row>
    <row r="148" spans="1:21" ht="14.25" thickBot="1">
      <c r="A148" s="336">
        <v>148</v>
      </c>
      <c r="C148" s="989"/>
      <c r="D148" s="989"/>
      <c r="E148" s="989"/>
      <c r="F148" s="989" t="s">
        <v>642</v>
      </c>
      <c r="H148" s="429" t="s">
        <v>792</v>
      </c>
      <c r="I148" s="430" t="str">
        <f>+IF(AND($H$3="地域がん診療病院",OR($H$4="地域がん診療病院",$H$4="地域がん診療病院(特例型)",$H$4="新規指定推薦")),"-","B")</f>
        <v>B</v>
      </c>
      <c r="J148" s="335">
        <v>1</v>
      </c>
      <c r="K148" s="401"/>
      <c r="M148" s="356" t="str">
        <f>IF(AND(I148="B",J148=""),"未入力あり",IF(AND(I148="B",J148&lt;&gt;""),"〇",IF(I148="-","")))</f>
        <v>〇</v>
      </c>
      <c r="O148" s="166"/>
      <c r="T148" s="375">
        <v>0</v>
      </c>
      <c r="U148" s="375">
        <v>10</v>
      </c>
    </row>
    <row r="149" spans="1:21" ht="14.25" thickBot="1">
      <c r="A149" s="336">
        <v>149</v>
      </c>
      <c r="C149" s="989"/>
      <c r="D149" s="989"/>
      <c r="E149" s="989"/>
      <c r="F149" s="362"/>
      <c r="G149" s="379"/>
      <c r="H149" s="384" t="s">
        <v>793</v>
      </c>
      <c r="I149" s="385" t="s">
        <v>645</v>
      </c>
      <c r="J149" s="335">
        <v>1</v>
      </c>
      <c r="K149" s="386"/>
      <c r="M149" s="356" t="str">
        <f>+IF(AND($H$3="地域がん診療病院",OR($H$4="地域がん診療病院",$H$4="地域がん診療病院(特例型)",$H$4="新規指定推薦")),"",IF(ISBLANK(J149),"未入力あり","〇"))</f>
        <v>〇</v>
      </c>
      <c r="O149" s="166"/>
      <c r="T149" s="375">
        <v>0</v>
      </c>
      <c r="U149" s="375">
        <v>10</v>
      </c>
    </row>
    <row r="150" spans="1:21" ht="14.25" thickBot="1">
      <c r="A150" s="336">
        <v>150</v>
      </c>
      <c r="C150" s="989"/>
      <c r="D150" s="989"/>
      <c r="E150" s="989"/>
      <c r="F150" s="989" t="s">
        <v>659</v>
      </c>
      <c r="H150" s="429" t="s">
        <v>794</v>
      </c>
      <c r="I150" s="430" t="str">
        <f>+IF(AND($H$3="地域がん診療病院",OR($H$4="地域がん診療病院",$H$4="地域がん診療病院(特例型)",$H$4="新規指定推薦")),"-","A")</f>
        <v>A</v>
      </c>
      <c r="J150" s="335">
        <v>7</v>
      </c>
      <c r="K150" s="401" t="s">
        <v>764</v>
      </c>
      <c r="M150" s="356" t="str">
        <f t="shared" si="15"/>
        <v>○</v>
      </c>
      <c r="O150" s="166"/>
      <c r="T150" s="375">
        <v>0</v>
      </c>
      <c r="U150" s="375">
        <v>10</v>
      </c>
    </row>
    <row r="151" spans="1:21" ht="14.25" thickBot="1">
      <c r="A151" s="336">
        <v>151</v>
      </c>
      <c r="C151" s="989"/>
      <c r="D151" s="989"/>
      <c r="E151" s="989"/>
      <c r="F151" s="362"/>
      <c r="G151" s="358"/>
      <c r="H151" s="443" t="s">
        <v>795</v>
      </c>
      <c r="I151" s="360" t="str">
        <f>+IF(AND($H$3="地域がん診療病院",OR($H$4="地域がん診療病院",$H$4="地域がん診療病院(特例型)",$H$4="新規指定推薦")),"-","C")</f>
        <v>C</v>
      </c>
      <c r="J151" s="335">
        <v>7</v>
      </c>
      <c r="K151" s="361"/>
      <c r="M151" s="356" t="str">
        <f t="shared" ref="M151:M159" si="16">IF(AND(I151="C",J151=""),"未入力あり",IF(AND(I151="C",J151&lt;&gt;""),"〇",IF(I151="-","")))</f>
        <v>〇</v>
      </c>
      <c r="O151" s="166"/>
      <c r="T151" s="375">
        <v>0</v>
      </c>
      <c r="U151" s="375">
        <v>10</v>
      </c>
    </row>
    <row r="152" spans="1:21" ht="14.25" thickBot="1">
      <c r="A152" s="336">
        <v>152</v>
      </c>
      <c r="C152" s="989"/>
      <c r="D152" s="989"/>
      <c r="E152" s="989"/>
      <c r="F152" s="989" t="s">
        <v>664</v>
      </c>
      <c r="H152" s="429" t="s">
        <v>796</v>
      </c>
      <c r="I152" s="430" t="str">
        <f>+IF(AND($H$3="地域がん診療病院",OR($H$4="地域がん診療病院",$H$4="地域がん診療病院(特例型)",$H$4="新規指定推薦")),"-","C")</f>
        <v>C</v>
      </c>
      <c r="J152" s="335">
        <v>22</v>
      </c>
      <c r="K152" s="401"/>
      <c r="M152" s="356" t="str">
        <f t="shared" si="16"/>
        <v>〇</v>
      </c>
      <c r="O152" s="166"/>
      <c r="T152" s="375">
        <v>0</v>
      </c>
      <c r="U152" s="376">
        <v>30</v>
      </c>
    </row>
    <row r="153" spans="1:21" ht="14.25" thickBot="1">
      <c r="A153" s="336">
        <v>153</v>
      </c>
      <c r="C153" s="989"/>
      <c r="D153" s="989"/>
      <c r="E153" s="989"/>
      <c r="F153" s="989"/>
      <c r="H153" s="444" t="s">
        <v>797</v>
      </c>
      <c r="I153" s="437" t="str">
        <f>+IF(AND($H$3="地域がん診療病院",OR($H$4="地域がん診療病院",$H$4="地域がん診療病院(特例型)",$H$4="新規指定推薦")),"-","C")</f>
        <v>C</v>
      </c>
      <c r="J153" s="335">
        <v>13</v>
      </c>
      <c r="K153" s="438"/>
      <c r="M153" s="356" t="str">
        <f t="shared" si="16"/>
        <v>〇</v>
      </c>
      <c r="O153" s="166"/>
      <c r="T153" s="375">
        <v>0</v>
      </c>
      <c r="U153" s="376">
        <v>10</v>
      </c>
    </row>
    <row r="154" spans="1:21" ht="14.25" thickBot="1">
      <c r="A154" s="336">
        <v>154</v>
      </c>
      <c r="C154" s="989"/>
      <c r="D154" s="989"/>
      <c r="E154" s="989"/>
      <c r="F154" s="989"/>
      <c r="H154" s="449" t="s">
        <v>798</v>
      </c>
      <c r="I154" s="431" t="str">
        <f>+IF(AND($H$3="地域がん診療病院",OR($H$4="地域がん診療病院",$H$4="地域がん診療病院(特例型)",$H$4="新規指定推薦")),"-","C")</f>
        <v>C</v>
      </c>
      <c r="J154" s="335">
        <v>6</v>
      </c>
      <c r="K154" s="410"/>
      <c r="M154" s="356" t="str">
        <f t="shared" si="16"/>
        <v>〇</v>
      </c>
      <c r="O154" s="166"/>
      <c r="T154" s="375">
        <v>0</v>
      </c>
      <c r="U154" s="376">
        <v>10</v>
      </c>
    </row>
    <row r="155" spans="1:21" ht="14.25" thickBot="1">
      <c r="A155" s="336">
        <v>155</v>
      </c>
      <c r="C155" s="989"/>
      <c r="D155" s="362"/>
      <c r="E155" s="362"/>
      <c r="F155" s="362"/>
      <c r="G155" s="358"/>
      <c r="H155" s="443" t="s">
        <v>799</v>
      </c>
      <c r="I155" s="363" t="str">
        <f>+IF(AND($H$3="地域がん診療病院",OR($H$4="地域がん診療病院",$H$4="地域がん診療病院(特例型)",$H$4="新規指定推薦")),"-","C")</f>
        <v>C</v>
      </c>
      <c r="J155" s="335">
        <v>3</v>
      </c>
      <c r="K155" s="361"/>
      <c r="M155" s="356" t="str">
        <f t="shared" si="16"/>
        <v>〇</v>
      </c>
      <c r="O155" s="166"/>
      <c r="T155" s="375">
        <v>0</v>
      </c>
      <c r="U155" s="376">
        <v>10</v>
      </c>
    </row>
    <row r="156" spans="1:21" ht="14.25" thickBot="1">
      <c r="A156" s="336">
        <v>156</v>
      </c>
      <c r="C156" s="989"/>
      <c r="D156" s="1067" t="s">
        <v>800</v>
      </c>
      <c r="E156" s="1068" t="s">
        <v>801</v>
      </c>
      <c r="F156" s="1069"/>
      <c r="G156" s="1069"/>
      <c r="H156" s="1070"/>
      <c r="I156" s="1071"/>
      <c r="J156" s="1070"/>
      <c r="K156" s="1072"/>
      <c r="O156" s="166"/>
    </row>
    <row r="157" spans="1:21" ht="14.25" thickBot="1">
      <c r="A157" s="336">
        <v>157</v>
      </c>
      <c r="C157" s="989"/>
      <c r="D157" s="989"/>
      <c r="E157" s="1073" t="s">
        <v>802</v>
      </c>
      <c r="F157" s="1075"/>
      <c r="G157" s="1075"/>
      <c r="H157" s="1081" t="s">
        <v>803</v>
      </c>
      <c r="I157" s="1082" t="str">
        <f>+IF(AND($H$3="地域がん診療病院",OR($H$4="地域がん診療病院",$H$4="地域がん診療病院(特例型)",$H$4="新規指定推薦")),"-","C")</f>
        <v>C</v>
      </c>
      <c r="J157" s="75" t="s">
        <v>1936</v>
      </c>
      <c r="K157" s="1066" t="s">
        <v>804</v>
      </c>
      <c r="M157" s="356" t="str">
        <f t="shared" si="16"/>
        <v>〇</v>
      </c>
      <c r="O157" s="166"/>
    </row>
    <row r="158" spans="1:21" ht="27.75" thickBot="1">
      <c r="A158" s="336">
        <v>158</v>
      </c>
      <c r="C158" s="989"/>
      <c r="D158" s="989"/>
      <c r="E158" s="1073" t="s">
        <v>805</v>
      </c>
      <c r="F158" s="1075"/>
      <c r="G158" s="1075"/>
      <c r="H158" s="1081" t="s">
        <v>806</v>
      </c>
      <c r="I158" s="1082" t="str">
        <f>+IF(AND($H$3="地域がん診療病院",OR($H$4="地域がん診療病院",$H$4="地域がん診療病院(特例型)",$H$4="新規指定推薦")),"-","A")</f>
        <v>A</v>
      </c>
      <c r="J158" s="75" t="s">
        <v>1936</v>
      </c>
      <c r="K158" s="1066"/>
      <c r="M158" s="356" t="str">
        <f t="shared" ref="M158:M165" si="17">+IF(I158="A",IF(ISBLANK(J158),"未入力あり",IF(J158="はい","○","×")),"")</f>
        <v>○</v>
      </c>
      <c r="O158" s="166"/>
    </row>
    <row r="159" spans="1:21" ht="14.25" thickBot="1">
      <c r="A159" s="336">
        <v>159</v>
      </c>
      <c r="C159" s="989"/>
      <c r="D159" s="989"/>
      <c r="E159" s="990"/>
      <c r="F159" s="450"/>
      <c r="G159" s="450"/>
      <c r="H159" s="359" t="s">
        <v>807</v>
      </c>
      <c r="I159" s="360" t="str">
        <f>+IF(AND($H$3="地域がん診療病院",OR($H$4="地域がん診療病院",$H$4="地域がん診療病院(特例型)",$H$4="新規指定推薦")),"-","C")</f>
        <v>C</v>
      </c>
      <c r="J159" s="75" t="s">
        <v>1936</v>
      </c>
      <c r="K159" s="361"/>
      <c r="M159" s="356" t="str">
        <f t="shared" si="16"/>
        <v>〇</v>
      </c>
      <c r="O159" s="166"/>
    </row>
    <row r="160" spans="1:21" ht="27.75" thickBot="1">
      <c r="A160" s="336">
        <v>160</v>
      </c>
      <c r="C160" s="989"/>
      <c r="D160" s="989"/>
      <c r="E160" s="451" t="s">
        <v>808</v>
      </c>
      <c r="F160" s="452"/>
      <c r="G160" s="452"/>
      <c r="H160" s="68" t="s">
        <v>809</v>
      </c>
      <c r="I160" s="382" t="str">
        <f>+IF(AND($H$3="地域がん診療病院",OR($H$4="地域がん診療病院",$H$4="地域がん診療病院(特例型)",$H$4="新規指定推薦")),"-","A")</f>
        <v>A</v>
      </c>
      <c r="J160" s="75" t="s">
        <v>1936</v>
      </c>
      <c r="K160" s="383"/>
      <c r="M160" s="356" t="str">
        <f t="shared" si="17"/>
        <v>○</v>
      </c>
      <c r="O160" s="166"/>
    </row>
    <row r="161" spans="1:21" ht="14.25" thickBot="1">
      <c r="A161" s="336">
        <v>161</v>
      </c>
      <c r="C161" s="989"/>
      <c r="D161" s="989"/>
      <c r="E161" s="990" t="s">
        <v>810</v>
      </c>
      <c r="F161" s="450"/>
      <c r="G161" s="450"/>
      <c r="H161" s="429" t="s">
        <v>811</v>
      </c>
      <c r="I161" s="430" t="str">
        <f>+IF(AND($H$3="地域がん診療病院",OR($H$4="地域がん診療病院",$H$4="地域がん診療病院(特例型)",$H$4="新規指定推薦")),"-","A")</f>
        <v>A</v>
      </c>
      <c r="J161" s="75" t="s">
        <v>1936</v>
      </c>
      <c r="K161" s="401" t="s">
        <v>812</v>
      </c>
      <c r="M161" s="356" t="str">
        <f t="shared" si="17"/>
        <v>○</v>
      </c>
      <c r="O161" s="166"/>
    </row>
    <row r="162" spans="1:21" ht="14.25" thickBot="1">
      <c r="A162" s="336">
        <v>162</v>
      </c>
      <c r="C162" s="989"/>
      <c r="D162" s="989"/>
      <c r="E162" s="990"/>
      <c r="F162" s="450"/>
      <c r="G162" s="450"/>
      <c r="H162" s="408" t="s">
        <v>813</v>
      </c>
      <c r="I162" s="409" t="str">
        <f>+IF(AND($H$3="地域がん診療病院",OR($H$4="地域がん診療病院",$H$4="地域がん診療病院(特例型)",$H$4="新規指定推薦")),"-","A")</f>
        <v>A</v>
      </c>
      <c r="J162" s="75" t="s">
        <v>1936</v>
      </c>
      <c r="K162" s="410"/>
      <c r="M162" s="356" t="str">
        <f t="shared" si="17"/>
        <v>○</v>
      </c>
      <c r="O162" s="166"/>
    </row>
    <row r="163" spans="1:21" ht="14.25" thickBot="1">
      <c r="A163" s="336">
        <v>163</v>
      </c>
      <c r="C163" s="989"/>
      <c r="D163" s="989"/>
      <c r="E163" s="990"/>
      <c r="F163" s="450"/>
      <c r="G163" s="450"/>
      <c r="H163" s="449" t="s">
        <v>814</v>
      </c>
      <c r="I163" s="409" t="s">
        <v>645</v>
      </c>
      <c r="J163" s="75" t="s">
        <v>1936</v>
      </c>
      <c r="K163" s="410"/>
      <c r="M163" s="356" t="str">
        <f t="shared" ref="M163:M164" si="18">+IF(AND($H$3="地域がん診療病院",OR($H$4="地域がん診療病院",$H$4="地域がん診療病院(特例型)",$H$4="新規指定推薦")),"",IF(ISBLANK(J163),"未入力あり","〇"))</f>
        <v>〇</v>
      </c>
      <c r="O163" s="166"/>
    </row>
    <row r="164" spans="1:21" ht="14.25" thickBot="1">
      <c r="A164" s="336">
        <v>164</v>
      </c>
      <c r="C164" s="989"/>
      <c r="D164" s="989"/>
      <c r="E164" s="990"/>
      <c r="F164" s="450"/>
      <c r="G164" s="450"/>
      <c r="H164" s="449" t="s">
        <v>815</v>
      </c>
      <c r="I164" s="409" t="s">
        <v>645</v>
      </c>
      <c r="J164" s="75" t="s">
        <v>1936</v>
      </c>
      <c r="K164" s="410"/>
      <c r="M164" s="356" t="str">
        <f t="shared" si="18"/>
        <v>〇</v>
      </c>
      <c r="O164" s="166"/>
    </row>
    <row r="165" spans="1:21" ht="27.75" thickBot="1">
      <c r="A165" s="336">
        <v>165</v>
      </c>
      <c r="C165" s="989"/>
      <c r="D165" s="989"/>
      <c r="E165" s="990"/>
      <c r="F165" s="450"/>
      <c r="G165" s="450"/>
      <c r="H165" s="429" t="s">
        <v>816</v>
      </c>
      <c r="I165" s="430" t="str">
        <f>+IF(OR(AND($H$3="地域がん診療病院",OR($H$4="地域がん診療病院",$H$4="地域がん診療病院(特例型)",$H$4="新規指定推薦")),AND(J163="はい",J164="はい")),"-","A")</f>
        <v>-</v>
      </c>
      <c r="J165" s="75" t="s">
        <v>1936</v>
      </c>
      <c r="K165" s="453" t="s">
        <v>817</v>
      </c>
      <c r="M165" s="356" t="str">
        <f t="shared" si="17"/>
        <v/>
      </c>
      <c r="O165" s="166"/>
    </row>
    <row r="166" spans="1:21" ht="14.25" thickBot="1">
      <c r="A166" s="336">
        <v>166</v>
      </c>
      <c r="C166" s="1058" t="s">
        <v>818</v>
      </c>
      <c r="D166" s="1059" t="s">
        <v>819</v>
      </c>
      <c r="E166" s="1060"/>
      <c r="F166" s="1060"/>
      <c r="G166" s="1060"/>
      <c r="H166" s="1061"/>
      <c r="I166" s="1062"/>
      <c r="J166" s="1061"/>
      <c r="K166" s="1063"/>
      <c r="O166" s="166"/>
    </row>
    <row r="167" spans="1:21" ht="14.25" thickBot="1">
      <c r="A167" s="336">
        <v>167</v>
      </c>
      <c r="C167" s="989"/>
      <c r="D167" s="1067" t="s">
        <v>611</v>
      </c>
      <c r="E167" s="1068"/>
      <c r="F167" s="1069"/>
      <c r="G167" s="1069"/>
      <c r="H167" s="1070"/>
      <c r="I167" s="1071"/>
      <c r="J167" s="1070"/>
      <c r="K167" s="1072"/>
      <c r="O167" s="166"/>
    </row>
    <row r="168" spans="1:21" ht="68.25" hidden="1" thickBot="1">
      <c r="A168" s="336">
        <v>168</v>
      </c>
      <c r="C168" s="989"/>
      <c r="D168" s="1005"/>
      <c r="H168" s="1085" t="s">
        <v>820</v>
      </c>
      <c r="I168" s="1086" t="str">
        <f>+IF(AND($H$3="地域がん診療病院",OR($H$4="地域がん診療病院",$H$4="地域がん診療病院(特例型)",$H$4="新規指定推薦")),"-","A")</f>
        <v>A</v>
      </c>
      <c r="J168" s="986"/>
      <c r="K168" s="1087" t="s">
        <v>821</v>
      </c>
      <c r="M168" s="356"/>
      <c r="O168" s="166"/>
    </row>
    <row r="169" spans="1:21" ht="41.25" hidden="1" thickBot="1">
      <c r="A169" s="336">
        <v>169</v>
      </c>
      <c r="C169" s="989"/>
      <c r="D169" s="1005"/>
      <c r="E169" s="59"/>
      <c r="F169" s="59"/>
      <c r="G169" s="59"/>
      <c r="H169" s="987" t="s">
        <v>822</v>
      </c>
      <c r="I169" s="988" t="str">
        <f>+IF(OR(AND($H$3="地域がん診療病院",OR($H$4="地域がん診療病院",$H$4="地域がん診療病院(特例型)",$H$4="新規指定推薦")),J170="いいえ"),"-","A")</f>
        <v>A</v>
      </c>
      <c r="J169" s="986"/>
      <c r="K169" s="1030" t="s">
        <v>823</v>
      </c>
      <c r="M169" s="356"/>
      <c r="O169" s="166"/>
    </row>
    <row r="170" spans="1:21" ht="14.25" thickBot="1">
      <c r="A170" s="336">
        <v>170</v>
      </c>
      <c r="C170" s="989"/>
      <c r="D170" s="1005"/>
      <c r="H170" s="1134" t="s">
        <v>824</v>
      </c>
      <c r="I170" s="400" t="str">
        <f>+IF(AND($H$3="地域がん診療病院",OR($H$4="地域がん診療病院",$H$4="地域がん診療病院(特例型)",$H$4="新規指定推薦")),"-","A")</f>
        <v>A</v>
      </c>
      <c r="J170" s="75" t="s">
        <v>1936</v>
      </c>
      <c r="K170" s="386"/>
      <c r="M170" s="356" t="str">
        <f>+IF(I170="A",IF(ISBLANK(J170),"未入力あり","○"),"")</f>
        <v>○</v>
      </c>
      <c r="O170" s="166"/>
    </row>
    <row r="171" spans="1:21" ht="14.25" hidden="1" thickBot="1">
      <c r="A171" s="336">
        <v>171</v>
      </c>
      <c r="C171" s="989"/>
      <c r="D171" s="989"/>
      <c r="E171" s="1073" t="s">
        <v>802</v>
      </c>
      <c r="F171" s="1075"/>
      <c r="G171" s="1075"/>
      <c r="H171" s="1085" t="s">
        <v>825</v>
      </c>
      <c r="I171" s="1086" t="str">
        <f>+IF(AND($H$3="地域がん診療病院",OR($H$4="地域がん診療病院",$H$4="地域がん診療病院(特例型)",$H$4="新規指定推薦")),"-","A")</f>
        <v>A</v>
      </c>
      <c r="J171" s="986"/>
      <c r="K171" s="1087"/>
      <c r="M171" s="356"/>
      <c r="O171" s="166"/>
    </row>
    <row r="172" spans="1:21" ht="27.75" thickBot="1">
      <c r="A172" s="336">
        <v>172</v>
      </c>
      <c r="C172" s="989"/>
      <c r="D172" s="989"/>
      <c r="E172" s="1132" t="s">
        <v>802</v>
      </c>
      <c r="F172" s="1079" t="s">
        <v>614</v>
      </c>
      <c r="G172" s="1080"/>
      <c r="H172" s="1066" t="s">
        <v>826</v>
      </c>
      <c r="I172" s="382" t="str">
        <f>+IF(AND($H$3="地域がん診療病院",OR($H$4="地域がん診療病院",$H$4="地域がん診療病院(特例型)",$H$4="新規指定推薦")),"-","A")</f>
        <v>A</v>
      </c>
      <c r="J172" s="335">
        <v>1722</v>
      </c>
      <c r="K172" s="383" t="s">
        <v>827</v>
      </c>
      <c r="M172" s="356" t="str">
        <f t="shared" ref="M172:M179" si="19">+IF(I172="A",IF(ISBLANK(J172),"未入力あり",""),"")</f>
        <v/>
      </c>
      <c r="O172" s="166"/>
      <c r="T172" s="375">
        <v>0</v>
      </c>
      <c r="U172" s="375">
        <v>4000</v>
      </c>
    </row>
    <row r="173" spans="1:21" ht="41.25" thickBot="1">
      <c r="A173" s="336">
        <v>173</v>
      </c>
      <c r="C173" s="989"/>
      <c r="D173" s="989"/>
      <c r="E173" s="990"/>
      <c r="F173" s="1079" t="s">
        <v>619</v>
      </c>
      <c r="G173" s="1080"/>
      <c r="H173" s="1066" t="s">
        <v>828</v>
      </c>
      <c r="I173" s="382" t="str">
        <f>+IF(AND($H$3="地域がん診療病院",OR($H$4="地域がん診療病院",$H$4="地域がん診療病院(特例型)",$H$4="新規指定推薦")),"-","A")</f>
        <v>A</v>
      </c>
      <c r="J173" s="335">
        <v>1399</v>
      </c>
      <c r="K173" s="383" t="s">
        <v>829</v>
      </c>
      <c r="M173" s="356" t="str">
        <f t="shared" si="19"/>
        <v/>
      </c>
      <c r="O173" s="166"/>
      <c r="T173" s="375">
        <v>0</v>
      </c>
      <c r="U173" s="375">
        <v>3500</v>
      </c>
    </row>
    <row r="174" spans="1:21" ht="41.25" thickBot="1">
      <c r="A174" s="336">
        <v>174</v>
      </c>
      <c r="C174" s="989"/>
      <c r="D174" s="989"/>
      <c r="E174" s="990"/>
      <c r="F174" s="1079" t="s">
        <v>627</v>
      </c>
      <c r="G174" s="1080"/>
      <c r="H174" s="1066" t="s">
        <v>830</v>
      </c>
      <c r="I174" s="1082" t="str">
        <f>+IF(AND($H$3="地域がん診療病院",OR($H$4="地域がん診療病院",$H$4="地域がん診療病院(特例型)",$H$4="新規指定推薦")),"-","A")</f>
        <v>A</v>
      </c>
      <c r="J174" s="335">
        <v>2400</v>
      </c>
      <c r="K174" s="1066" t="s">
        <v>831</v>
      </c>
      <c r="M174" s="356" t="str">
        <f t="shared" si="19"/>
        <v/>
      </c>
      <c r="O174" s="166"/>
      <c r="T174" s="375">
        <v>0</v>
      </c>
      <c r="U174" s="375">
        <v>14000</v>
      </c>
    </row>
    <row r="175" spans="1:21" ht="45.75" customHeight="1" thickBot="1">
      <c r="A175" s="336">
        <v>175</v>
      </c>
      <c r="C175" s="989"/>
      <c r="D175" s="989"/>
      <c r="E175" s="990"/>
      <c r="F175" s="454"/>
      <c r="G175" s="455"/>
      <c r="H175" s="399" t="s">
        <v>832</v>
      </c>
      <c r="I175" s="385" t="s">
        <v>645</v>
      </c>
      <c r="J175" s="335">
        <v>1694</v>
      </c>
      <c r="K175" s="1066"/>
      <c r="M175" s="356" t="str">
        <f>+IF(AND($H$3="地域がん診療病院",OR($H$4="地域がん診療病院",$H$4="地域がん診療病院(特例型)",$H$4="新規指定推薦")),"",IF(ISBLANK(J175),"未入力あり",""))</f>
        <v/>
      </c>
      <c r="O175" s="166"/>
      <c r="T175" s="375">
        <v>0</v>
      </c>
      <c r="U175" s="376">
        <v>12000</v>
      </c>
    </row>
    <row r="176" spans="1:21" ht="41.25" thickBot="1">
      <c r="A176" s="336">
        <v>176</v>
      </c>
      <c r="C176" s="989"/>
      <c r="D176" s="989"/>
      <c r="E176" s="990"/>
      <c r="F176" s="1079" t="s">
        <v>639</v>
      </c>
      <c r="G176" s="1080"/>
      <c r="H176" s="1066" t="s">
        <v>833</v>
      </c>
      <c r="I176" s="382" t="str">
        <f>+IF(AND($H$3="地域がん診療病院",OR($H$4="地域がん診療病院",$H$4="地域がん診療病院(特例型)",$H$4="新規指定推薦")),"-","A")</f>
        <v>A</v>
      </c>
      <c r="J176" s="335">
        <v>293</v>
      </c>
      <c r="K176" s="383" t="s">
        <v>834</v>
      </c>
      <c r="M176" s="356" t="str">
        <f t="shared" si="19"/>
        <v/>
      </c>
      <c r="O176" s="166"/>
      <c r="T176" s="375">
        <v>0</v>
      </c>
      <c r="U176" s="375">
        <v>2400</v>
      </c>
    </row>
    <row r="177" spans="1:21" ht="27.75" thickBot="1">
      <c r="A177" s="336">
        <v>177</v>
      </c>
      <c r="C177" s="989"/>
      <c r="D177" s="989"/>
      <c r="E177" s="990"/>
      <c r="F177" s="380" t="s">
        <v>642</v>
      </c>
      <c r="G177" s="1133"/>
      <c r="H177" s="383" t="s">
        <v>835</v>
      </c>
      <c r="I177" s="382" t="str">
        <f>+IF(AND($H$3="地域がん診療病院",OR($H$4="地域がん診療病院",$H$4="地域がん診療病院(特例型)",$H$4="新規指定推薦")),"-","A")</f>
        <v>A</v>
      </c>
      <c r="J177" s="335">
        <v>260</v>
      </c>
      <c r="K177" s="383" t="s">
        <v>836</v>
      </c>
      <c r="M177" s="356" t="str">
        <f t="shared" si="19"/>
        <v/>
      </c>
      <c r="O177" s="166"/>
      <c r="T177" s="375">
        <v>0</v>
      </c>
      <c r="U177" s="375">
        <v>880</v>
      </c>
    </row>
    <row r="178" spans="1:21" ht="27.75" hidden="1" thickBot="1">
      <c r="A178" s="336">
        <v>178</v>
      </c>
      <c r="C178" s="989"/>
      <c r="D178" s="989"/>
      <c r="E178" s="1073" t="s">
        <v>805</v>
      </c>
      <c r="F178" s="1075"/>
      <c r="G178" s="1075"/>
      <c r="H178" s="1085" t="s">
        <v>837</v>
      </c>
      <c r="I178" s="1086" t="str">
        <f>+IF(AND($H$3="地域がん診療病院",OR($H$4="地域がん診療病院",$H$4="地域がん診療病院(特例型)",$H$4="新規指定推薦")),"-","A")</f>
        <v>A</v>
      </c>
      <c r="J178" s="986"/>
      <c r="K178" s="1087" t="s">
        <v>838</v>
      </c>
      <c r="M178" s="356"/>
      <c r="O178" s="166"/>
    </row>
    <row r="179" spans="1:21" ht="14.25" thickBot="1">
      <c r="A179" s="336">
        <v>179</v>
      </c>
      <c r="C179" s="989"/>
      <c r="D179" s="362"/>
      <c r="E179" s="456" t="s">
        <v>805</v>
      </c>
      <c r="F179" s="457"/>
      <c r="G179" s="457"/>
      <c r="H179" s="443" t="s">
        <v>839</v>
      </c>
      <c r="I179" s="360" t="str">
        <f>+IF(AND($H$3="地域がん診療病院",OR($H$4="地域がん診療病院",$H$4="地域がん診療病院(特例型)",$H$4="新規指定推薦")),"-","A")</f>
        <v>A</v>
      </c>
      <c r="J179" s="1148">
        <v>16</v>
      </c>
      <c r="K179" s="361" t="s">
        <v>840</v>
      </c>
      <c r="M179" s="356" t="str">
        <f t="shared" si="19"/>
        <v/>
      </c>
      <c r="O179" s="167"/>
    </row>
    <row r="180" spans="1:21" ht="27.75" hidden="1" thickBot="1">
      <c r="A180" s="336">
        <v>180</v>
      </c>
      <c r="C180" s="513"/>
      <c r="D180" s="1079"/>
      <c r="E180" s="1073"/>
      <c r="F180" s="1075"/>
      <c r="G180" s="1088"/>
      <c r="H180" s="991" t="s">
        <v>841</v>
      </c>
      <c r="I180" s="992"/>
      <c r="J180" s="993" t="str">
        <f>+IF(AND(ISBLANK(J172),ISBLANK(J173),ISBLANK(J174),ISBLANK(J176),ISBLANK(J177)),"",IF(AND(J172&gt;=450,J173&gt;=360,J174&gt;=900,J176&gt;=180,J177&gt;=45),"はい","いいえ "))</f>
        <v>はい</v>
      </c>
      <c r="K180" s="994" t="s">
        <v>842</v>
      </c>
      <c r="M180" s="356"/>
      <c r="O180" s="167"/>
    </row>
    <row r="181" spans="1:21" ht="27.75" hidden="1" thickBot="1">
      <c r="A181" s="336">
        <v>181</v>
      </c>
      <c r="C181" s="989"/>
      <c r="D181" s="989"/>
      <c r="E181" s="990"/>
      <c r="F181" s="450"/>
      <c r="G181" s="523"/>
      <c r="H181" s="991" t="s">
        <v>843</v>
      </c>
      <c r="I181" s="992"/>
      <c r="J181" s="993" t="str">
        <f>+IF(AND(ISBLANK(J179)),"",IF(AND(J179&gt;=18),"はい","いいえ "))</f>
        <v xml:space="preserve">いいえ </v>
      </c>
      <c r="K181" s="994" t="s">
        <v>844</v>
      </c>
      <c r="M181" s="356"/>
      <c r="O181" s="167"/>
    </row>
    <row r="182" spans="1:21" ht="14.25" hidden="1" thickBot="1">
      <c r="A182" s="336">
        <v>182</v>
      </c>
      <c r="C182" s="989"/>
      <c r="D182" s="989"/>
      <c r="E182" s="990"/>
      <c r="F182" s="450"/>
      <c r="G182" s="523"/>
      <c r="H182" s="991" t="s">
        <v>845</v>
      </c>
      <c r="I182" s="992"/>
      <c r="J182" s="993" t="str">
        <f>+IF(AND(ISBLANK(J180),ISBLANK(J181)),"",IF(OR(J180="はい",J181="はい"),"はい","いいえ "))</f>
        <v>はい</v>
      </c>
      <c r="K182" s="994"/>
      <c r="M182" s="356"/>
      <c r="O182" s="167"/>
    </row>
    <row r="183" spans="1:21" ht="41.25" hidden="1" thickBot="1">
      <c r="A183" s="336">
        <v>183</v>
      </c>
      <c r="C183" s="989"/>
      <c r="D183" s="989"/>
      <c r="E183" s="990"/>
      <c r="F183" s="450"/>
      <c r="G183" s="523"/>
      <c r="H183" s="991" t="s">
        <v>846</v>
      </c>
      <c r="I183" s="992"/>
      <c r="J183" s="993" t="str">
        <f>+IF(AND(ISBLANK(J172),ISBLANK(J173),ISBLANK(J174),ISBLANK(J176),ISBLANK(J177)),"",IF(AND(J172&gt;=500,J173&gt;=400,J174&gt;=1000,J176&gt;=200,J177&gt;=50),"はい","いいえ "))</f>
        <v>はい</v>
      </c>
      <c r="K183" s="994" t="s">
        <v>823</v>
      </c>
      <c r="M183" s="356"/>
      <c r="O183" s="167"/>
    </row>
    <row r="184" spans="1:21" ht="14.25" hidden="1" thickBot="1">
      <c r="A184" s="336">
        <v>184</v>
      </c>
      <c r="C184" s="989"/>
      <c r="D184" s="989"/>
      <c r="E184" s="990"/>
      <c r="F184" s="450"/>
      <c r="G184" s="523"/>
      <c r="H184" s="991" t="s">
        <v>847</v>
      </c>
      <c r="I184" s="992"/>
      <c r="J184" s="993" t="str">
        <f>+IF(J170="はい",IF(ISBLANK(J183),"未入力あり",IF(J183="はい","○","×")),"")</f>
        <v>○</v>
      </c>
      <c r="K184" s="994"/>
      <c r="M184" s="356"/>
      <c r="O184" s="167"/>
    </row>
    <row r="185" spans="1:21" ht="14.25" hidden="1" thickBot="1">
      <c r="A185" s="336">
        <v>185</v>
      </c>
      <c r="C185" s="989"/>
      <c r="D185" s="989"/>
      <c r="E185" s="990"/>
      <c r="F185" s="450"/>
      <c r="G185" s="523"/>
      <c r="H185" s="991" t="s">
        <v>848</v>
      </c>
      <c r="I185" s="992"/>
      <c r="J185" s="993" t="str">
        <f>+IF(J170="いいえ",IF(ISBLANK(J182),"未入力あり",IF(J182="はい","○","×")),"")</f>
        <v/>
      </c>
      <c r="K185" s="994"/>
      <c r="M185" s="356"/>
      <c r="O185" s="167"/>
    </row>
    <row r="186" spans="1:21" ht="68.25" thickBot="1">
      <c r="A186" s="336">
        <v>186</v>
      </c>
      <c r="C186" s="362"/>
      <c r="D186" s="362"/>
      <c r="E186" s="456"/>
      <c r="F186" s="457"/>
      <c r="G186" s="472"/>
      <c r="H186" s="443" t="s">
        <v>849</v>
      </c>
      <c r="I186" s="360" t="str">
        <f>+IF(AND($H$3="地域がん診療病院",OR($H$4="地域がん診療病院",$H$4="地域がん診療病院(特例型)",$H$4="新規指定推薦")),"-","A")</f>
        <v>A</v>
      </c>
      <c r="J186" s="995" t="str">
        <f>+IF(AND(J184="",J185=""),"",IF(OR(J184="○",J185="○"),"はい","いいえ "))</f>
        <v>はい</v>
      </c>
      <c r="K186" s="361" t="s">
        <v>850</v>
      </c>
      <c r="M186" s="356" t="str">
        <f>+IF(I186="A",IF(ISBLANK(J186),"未入力あり",IF(J186="はい","○","×")),"")</f>
        <v>○</v>
      </c>
      <c r="O186" s="167"/>
    </row>
    <row r="187" spans="1:21" ht="14.25" thickBot="1">
      <c r="A187" s="336">
        <v>187</v>
      </c>
      <c r="C187" s="1058" t="s">
        <v>851</v>
      </c>
      <c r="D187" s="1059" t="s">
        <v>852</v>
      </c>
      <c r="E187" s="1060"/>
      <c r="F187" s="1060"/>
      <c r="G187" s="1060"/>
      <c r="H187" s="1061"/>
      <c r="I187" s="1062"/>
      <c r="J187" s="1061"/>
      <c r="K187" s="1063"/>
      <c r="O187" s="166"/>
    </row>
    <row r="188" spans="1:21" ht="14.25" thickBot="1">
      <c r="A188" s="336">
        <v>188</v>
      </c>
      <c r="C188" s="989"/>
      <c r="D188" s="1089" t="s">
        <v>853</v>
      </c>
      <c r="E188" s="1069"/>
      <c r="F188" s="1069"/>
      <c r="G188" s="1069"/>
      <c r="H188" s="364" t="s">
        <v>854</v>
      </c>
      <c r="I188" s="365" t="str">
        <f t="shared" ref="I188:I194" si="20">+IF(AND($H$3="地域がん診療病院",OR($H$4="地域がん診療病院",$H$4="地域がん診療病院(特例型)",$H$4="新規指定推薦")),"-","A")</f>
        <v>A</v>
      </c>
      <c r="J188" s="75" t="s">
        <v>1936</v>
      </c>
      <c r="K188" s="366"/>
      <c r="M188" s="356" t="str">
        <f>+IF(I188="A",IF(ISBLANK(J188),"未入力あり",IF(J188="はい","○","×")),"")</f>
        <v>○</v>
      </c>
      <c r="O188" s="166"/>
    </row>
    <row r="189" spans="1:21" ht="14.25" thickBot="1">
      <c r="A189" s="336">
        <v>189</v>
      </c>
      <c r="C189" s="989"/>
      <c r="D189" s="1006"/>
      <c r="E189" s="458"/>
      <c r="F189" s="458"/>
      <c r="G189" s="458"/>
      <c r="H189" s="408" t="s">
        <v>855</v>
      </c>
      <c r="I189" s="409" t="str">
        <f t="shared" si="20"/>
        <v>A</v>
      </c>
      <c r="J189" s="75" t="s">
        <v>1936</v>
      </c>
      <c r="K189" s="410"/>
      <c r="M189" s="356" t="str">
        <f t="shared" ref="M189:M194" si="21">+IF(I189="A",IF(ISBLANK(J189),"未入力あり",IF(J189="はい","○","×")),"")</f>
        <v>○</v>
      </c>
      <c r="O189" s="166"/>
    </row>
    <row r="190" spans="1:21" ht="14.25" thickBot="1">
      <c r="A190" s="336">
        <v>190</v>
      </c>
      <c r="C190" s="989"/>
      <c r="D190" s="1006"/>
      <c r="E190" s="458"/>
      <c r="F190" s="458"/>
      <c r="G190" s="458"/>
      <c r="H190" s="359" t="s">
        <v>856</v>
      </c>
      <c r="I190" s="360" t="str">
        <f t="shared" si="20"/>
        <v>A</v>
      </c>
      <c r="J190" s="75" t="s">
        <v>1936</v>
      </c>
      <c r="K190" s="361"/>
      <c r="M190" s="356" t="str">
        <f t="shared" si="21"/>
        <v>○</v>
      </c>
      <c r="O190" s="166"/>
    </row>
    <row r="191" spans="1:21" ht="27.75" thickBot="1">
      <c r="A191" s="336">
        <v>191</v>
      </c>
      <c r="C191" s="989"/>
      <c r="D191" s="1089" t="s">
        <v>857</v>
      </c>
      <c r="E191" s="1069"/>
      <c r="F191" s="1069"/>
      <c r="G191" s="1069"/>
      <c r="H191" s="1081" t="s">
        <v>858</v>
      </c>
      <c r="I191" s="1082" t="str">
        <f t="shared" si="20"/>
        <v>A</v>
      </c>
      <c r="J191" s="75" t="s">
        <v>1936</v>
      </c>
      <c r="K191" s="1066"/>
      <c r="M191" s="356" t="str">
        <f t="shared" si="21"/>
        <v>○</v>
      </c>
      <c r="O191" s="166"/>
    </row>
    <row r="192" spans="1:21" ht="38.25" customHeight="1" thickBot="1">
      <c r="A192" s="336">
        <v>192</v>
      </c>
      <c r="C192" s="989"/>
      <c r="D192" s="1089" t="s">
        <v>859</v>
      </c>
      <c r="E192" s="1069"/>
      <c r="F192" s="1069"/>
      <c r="G192" s="1069"/>
      <c r="H192" s="1081" t="s">
        <v>860</v>
      </c>
      <c r="I192" s="1082" t="str">
        <f t="shared" si="20"/>
        <v>A</v>
      </c>
      <c r="J192" s="75" t="s">
        <v>1936</v>
      </c>
      <c r="K192" s="1066"/>
      <c r="M192" s="356" t="str">
        <f t="shared" si="21"/>
        <v>○</v>
      </c>
      <c r="O192" s="166"/>
    </row>
    <row r="193" spans="1:21" ht="27.75" thickBot="1">
      <c r="A193" s="336">
        <v>193</v>
      </c>
      <c r="C193" s="989"/>
      <c r="D193" s="1006"/>
      <c r="E193" s="458"/>
      <c r="F193" s="458"/>
      <c r="G193" s="458"/>
      <c r="H193" s="408" t="s">
        <v>861</v>
      </c>
      <c r="I193" s="409" t="str">
        <f t="shared" si="20"/>
        <v>A</v>
      </c>
      <c r="J193" s="75" t="s">
        <v>1936</v>
      </c>
      <c r="K193" s="410"/>
      <c r="M193" s="356" t="str">
        <f t="shared" si="21"/>
        <v>○</v>
      </c>
      <c r="O193" s="166"/>
    </row>
    <row r="194" spans="1:21" ht="14.25" thickBot="1">
      <c r="A194" s="336">
        <v>194</v>
      </c>
      <c r="C194" s="989"/>
      <c r="D194" s="1006"/>
      <c r="E194" s="458"/>
      <c r="F194" s="458"/>
      <c r="G194" s="458"/>
      <c r="H194" s="429" t="s">
        <v>862</v>
      </c>
      <c r="I194" s="430" t="str">
        <f t="shared" si="20"/>
        <v>A</v>
      </c>
      <c r="J194" s="75" t="s">
        <v>1936</v>
      </c>
      <c r="K194" s="401"/>
      <c r="M194" s="356" t="str">
        <f t="shared" si="21"/>
        <v>○</v>
      </c>
      <c r="O194" s="166"/>
      <c r="T194" s="375">
        <v>0</v>
      </c>
      <c r="U194" s="375">
        <v>100</v>
      </c>
    </row>
    <row r="195" spans="1:21" ht="14.25" thickBot="1">
      <c r="A195" s="336">
        <v>195</v>
      </c>
      <c r="C195" s="989"/>
      <c r="D195" s="1006"/>
      <c r="E195" s="458"/>
      <c r="F195" s="458"/>
      <c r="G195" s="458"/>
      <c r="H195" s="459" t="str">
        <f>+'事務局使用（発出時は非表示にすること）'!B3&amp;"で自施設に所属する初期臨床研修医の人数"</f>
        <v>令和６年９月１日時点で自施設に所属する初期臨床研修医の人数</v>
      </c>
      <c r="I195" s="460" t="s">
        <v>645</v>
      </c>
      <c r="J195" s="335">
        <v>27</v>
      </c>
      <c r="K195" s="461"/>
      <c r="M195" s="356" t="str">
        <f t="shared" ref="M195:M199" si="22">+IF(AND($H$3="地域がん診療病院",OR($H$4="地域がん診療病院",$H$4="地域がん診療病院(特例型)",$H$4="新規指定推薦")),"",IF(ISBLANK(J195),"未入力あり","〇"))</f>
        <v>〇</v>
      </c>
      <c r="O195" s="166"/>
      <c r="T195" s="375">
        <v>0</v>
      </c>
      <c r="U195" s="376">
        <v>100</v>
      </c>
    </row>
    <row r="196" spans="1:21" ht="14.25" thickBot="1">
      <c r="A196" s="336">
        <v>196</v>
      </c>
      <c r="C196" s="989"/>
      <c r="D196" s="1006"/>
      <c r="E196" s="458"/>
      <c r="F196" s="458"/>
      <c r="G196" s="458"/>
      <c r="H196" s="393" t="s">
        <v>863</v>
      </c>
      <c r="I196" s="396" t="s">
        <v>645</v>
      </c>
      <c r="J196" s="335">
        <v>10</v>
      </c>
      <c r="K196" s="395"/>
      <c r="M196" s="356" t="str">
        <f t="shared" si="22"/>
        <v>〇</v>
      </c>
      <c r="O196" s="166"/>
      <c r="T196" s="375">
        <v>0</v>
      </c>
      <c r="U196" s="375">
        <v>70</v>
      </c>
    </row>
    <row r="197" spans="1:21" ht="14.25" thickBot="1">
      <c r="A197" s="336">
        <v>197</v>
      </c>
      <c r="C197" s="989"/>
      <c r="D197" s="1006"/>
      <c r="E197" s="458"/>
      <c r="F197" s="458"/>
      <c r="G197" s="458"/>
      <c r="H197" s="462" t="s">
        <v>864</v>
      </c>
      <c r="I197" s="463" t="s">
        <v>645</v>
      </c>
      <c r="J197" s="464">
        <f>+IFERROR(J196/J195,"")</f>
        <v>0.37037037037037035</v>
      </c>
      <c r="K197" s="420"/>
      <c r="O197" s="166"/>
      <c r="T197" s="375">
        <v>0</v>
      </c>
      <c r="U197" s="375">
        <v>100</v>
      </c>
    </row>
    <row r="198" spans="1:21" ht="14.25" thickBot="1">
      <c r="A198" s="336">
        <v>198</v>
      </c>
      <c r="C198" s="989"/>
      <c r="D198" s="1006"/>
      <c r="E198" s="458"/>
      <c r="F198" s="458"/>
      <c r="G198" s="458"/>
      <c r="H198" s="459" t="s">
        <v>865</v>
      </c>
      <c r="I198" s="460" t="s">
        <v>645</v>
      </c>
      <c r="J198" s="335">
        <v>161</v>
      </c>
      <c r="K198" s="461"/>
      <c r="M198" s="356" t="str">
        <f t="shared" si="22"/>
        <v>〇</v>
      </c>
      <c r="O198" s="166"/>
      <c r="T198" s="375">
        <v>0</v>
      </c>
      <c r="U198" s="375">
        <v>470</v>
      </c>
    </row>
    <row r="199" spans="1:21" ht="14.25" thickBot="1">
      <c r="A199" s="336">
        <v>199</v>
      </c>
      <c r="C199" s="989"/>
      <c r="D199" s="1006"/>
      <c r="E199" s="458"/>
      <c r="F199" s="458"/>
      <c r="G199" s="458"/>
      <c r="H199" s="393" t="s">
        <v>863</v>
      </c>
      <c r="I199" s="396" t="s">
        <v>645</v>
      </c>
      <c r="J199" s="335">
        <v>140</v>
      </c>
      <c r="K199" s="395"/>
      <c r="M199" s="356" t="str">
        <f t="shared" si="22"/>
        <v>〇</v>
      </c>
      <c r="O199" s="166"/>
      <c r="T199" s="375">
        <v>0</v>
      </c>
      <c r="U199" s="375">
        <v>360</v>
      </c>
    </row>
    <row r="200" spans="1:21" ht="14.25" thickBot="1">
      <c r="A200" s="336">
        <v>200</v>
      </c>
      <c r="C200" s="989"/>
      <c r="D200" s="1006"/>
      <c r="E200" s="458"/>
      <c r="F200" s="458"/>
      <c r="G200" s="458"/>
      <c r="H200" s="462" t="s">
        <v>864</v>
      </c>
      <c r="I200" s="463" t="s">
        <v>645</v>
      </c>
      <c r="J200" s="464">
        <f>+IFERROR(J199/J198,"")</f>
        <v>0.86956521739130432</v>
      </c>
      <c r="K200" s="420"/>
      <c r="O200" s="166"/>
      <c r="T200" s="375">
        <v>0</v>
      </c>
      <c r="U200" s="375">
        <v>100</v>
      </c>
    </row>
    <row r="201" spans="1:21" ht="14.25" thickBot="1">
      <c r="A201" s="336">
        <v>201</v>
      </c>
      <c r="C201" s="989"/>
      <c r="D201" s="1006"/>
      <c r="E201" s="458"/>
      <c r="F201" s="458"/>
      <c r="G201" s="458"/>
      <c r="H201" s="429" t="s">
        <v>866</v>
      </c>
      <c r="I201" s="430" t="str">
        <f>+IF(AND($H$3="地域がん診療病院",OR($H$4="地域がん診療病院",$H$4="地域がん診療病院(特例型)",$H$4="新規指定推薦")),"-","A")</f>
        <v>A</v>
      </c>
      <c r="J201" s="75" t="s">
        <v>1936</v>
      </c>
      <c r="K201" s="401"/>
      <c r="M201" s="356" t="str">
        <f t="shared" ref="M201:M205" si="23">+IF(I201="A",IF(ISBLANK(J201),"未入力あり",IF(J201="はい","○","×")),"")</f>
        <v>○</v>
      </c>
      <c r="O201" s="166"/>
    </row>
    <row r="202" spans="1:21" ht="14.25" thickBot="1">
      <c r="A202" s="336">
        <v>202</v>
      </c>
      <c r="C202" s="989"/>
      <c r="D202" s="1006"/>
      <c r="E202" s="458"/>
      <c r="F202" s="458"/>
      <c r="G202" s="458"/>
      <c r="H202" s="359" t="s">
        <v>867</v>
      </c>
      <c r="I202" s="360" t="str">
        <f>+IF(AND($H$3="地域がん診療病院",OR($H$4="地域がん診療病院",$H$4="地域がん診療病院(特例型)",$H$4="新規指定推薦")),"-","A")</f>
        <v>A</v>
      </c>
      <c r="J202" s="75" t="s">
        <v>1936</v>
      </c>
      <c r="K202" s="361"/>
      <c r="M202" s="356" t="str">
        <f t="shared" si="23"/>
        <v>○</v>
      </c>
      <c r="O202" s="166"/>
    </row>
    <row r="203" spans="1:21" ht="14.25" thickBot="1">
      <c r="A203" s="336">
        <v>203</v>
      </c>
      <c r="C203" s="989"/>
      <c r="D203" s="1089" t="s">
        <v>868</v>
      </c>
      <c r="E203" s="1069"/>
      <c r="F203" s="1069"/>
      <c r="G203" s="1069"/>
      <c r="H203" s="1081" t="s">
        <v>869</v>
      </c>
      <c r="I203" s="1082" t="str">
        <f>+IF(AND($H$3="地域がん診療病院",OR($H$4="地域がん診療病院",$H$4="地域がん診療病院(特例型)",$H$4="新規指定推薦")),"-","A")</f>
        <v>A</v>
      </c>
      <c r="J203" s="75" t="s">
        <v>1936</v>
      </c>
      <c r="K203" s="1066"/>
      <c r="M203" s="356" t="str">
        <f t="shared" si="23"/>
        <v>○</v>
      </c>
      <c r="O203" s="166"/>
    </row>
    <row r="204" spans="1:21" ht="27.75" thickBot="1">
      <c r="A204" s="336">
        <v>204</v>
      </c>
      <c r="C204" s="989"/>
      <c r="D204" s="465" t="s">
        <v>870</v>
      </c>
      <c r="E204" s="466"/>
      <c r="F204" s="466"/>
      <c r="G204" s="466"/>
      <c r="H204" s="68" t="s">
        <v>871</v>
      </c>
      <c r="I204" s="382" t="str">
        <f>+IF(AND($H$3="地域がん診療病院",OR($H$4="地域がん診療病院",$H$4="地域がん診療病院(特例型)",$H$4="新規指定推薦")),"-","A")</f>
        <v>A</v>
      </c>
      <c r="J204" s="75" t="s">
        <v>1936</v>
      </c>
      <c r="K204" s="383"/>
      <c r="M204" s="356" t="str">
        <f t="shared" si="23"/>
        <v>○</v>
      </c>
      <c r="O204" s="166"/>
    </row>
    <row r="205" spans="1:21" ht="27.75" thickBot="1">
      <c r="A205" s="336">
        <v>205</v>
      </c>
      <c r="C205" s="989"/>
      <c r="D205" s="1006" t="s">
        <v>872</v>
      </c>
      <c r="E205" s="458"/>
      <c r="F205" s="458"/>
      <c r="G205" s="458"/>
      <c r="H205" s="429" t="s">
        <v>873</v>
      </c>
      <c r="I205" s="430" t="str">
        <f>+IF(AND($H$3="地域がん診療病院",OR($H$4="地域がん診療病院",$H$4="地域がん診療病院(特例型)",$H$4="新規指定推薦")),"-","A")</f>
        <v>A</v>
      </c>
      <c r="J205" s="75" t="s">
        <v>1936</v>
      </c>
      <c r="K205" s="401"/>
      <c r="M205" s="356" t="str">
        <f t="shared" si="23"/>
        <v>○</v>
      </c>
      <c r="O205" s="166"/>
    </row>
    <row r="206" spans="1:21" ht="14.25" thickBot="1">
      <c r="A206" s="336">
        <v>206</v>
      </c>
      <c r="C206" s="989"/>
      <c r="D206" s="1006"/>
      <c r="E206" s="458"/>
      <c r="F206" s="458"/>
      <c r="G206" s="458"/>
      <c r="H206" s="436" t="s">
        <v>874</v>
      </c>
      <c r="I206" s="445" t="str">
        <f>+IF(AND($H$3="地域がん診療病院",OR($H$4="地域がん診療病院",$H$4="地域がん診療病院(特例型)",$H$4="新規指定推薦")),"-","C")</f>
        <v>C</v>
      </c>
      <c r="J206" s="75" t="s">
        <v>1936</v>
      </c>
      <c r="K206" s="438"/>
      <c r="M206" s="356" t="str">
        <f t="shared" ref="M206" si="24">IF(AND(I206="C",J206=""),"未入力あり",IF(AND(I206="C",J206&lt;&gt;""),"〇",IF(I206="-","")))</f>
        <v>〇</v>
      </c>
      <c r="O206" s="166"/>
    </row>
    <row r="207" spans="1:21">
      <c r="A207" s="336">
        <v>207</v>
      </c>
      <c r="C207" s="989"/>
      <c r="D207" s="1006"/>
      <c r="E207" s="458"/>
      <c r="F207" s="458"/>
      <c r="G207" s="467"/>
      <c r="H207" s="397" t="s">
        <v>875</v>
      </c>
      <c r="I207" s="398" t="s">
        <v>649</v>
      </c>
      <c r="J207" s="335">
        <v>1</v>
      </c>
      <c r="K207" s="399"/>
      <c r="M207" s="356" t="str">
        <f t="shared" ref="M207:M211" si="25">+IF(AND($H$3="地域がん診療病院",OR($H$4="地域がん診療病院",$H$4="地域がん診療病院(特例型)",$H$4="新規指定推薦")),"",IF(ISBLANK(J207),"未入力あり","〇"))</f>
        <v>〇</v>
      </c>
      <c r="O207" s="166"/>
      <c r="T207" s="375">
        <v>0</v>
      </c>
      <c r="U207" s="376">
        <v>100</v>
      </c>
    </row>
    <row r="208" spans="1:21" ht="45.75" customHeight="1">
      <c r="A208" s="336">
        <v>208</v>
      </c>
      <c r="C208" s="989"/>
      <c r="D208" s="468"/>
      <c r="E208" s="469"/>
      <c r="F208" s="469"/>
      <c r="G208" s="470"/>
      <c r="H208" s="384" t="s">
        <v>876</v>
      </c>
      <c r="I208" s="385" t="s">
        <v>649</v>
      </c>
      <c r="J208" s="111" t="s">
        <v>1939</v>
      </c>
      <c r="K208" s="386"/>
      <c r="M208" s="356" t="str">
        <f t="shared" si="25"/>
        <v>〇</v>
      </c>
      <c r="O208" s="166"/>
    </row>
    <row r="209" spans="1:21" ht="14.25" thickBot="1">
      <c r="A209" s="336">
        <v>209</v>
      </c>
      <c r="C209" s="989"/>
      <c r="D209" s="1006" t="s">
        <v>877</v>
      </c>
      <c r="E209" s="458"/>
      <c r="F209" s="458"/>
      <c r="G209" s="458"/>
      <c r="H209" s="429" t="s">
        <v>878</v>
      </c>
      <c r="I209" s="430" t="str">
        <f>+IF(AND($H$3="地域がん診療病院",OR($H$4="地域がん診療病院",$H$4="地域がん診療病院(特例型)",$H$4="新規指定推薦")),"-","A")</f>
        <v>A</v>
      </c>
      <c r="J209" s="75" t="s">
        <v>1936</v>
      </c>
      <c r="K209" s="401"/>
      <c r="M209" s="356" t="str">
        <f t="shared" ref="M209" si="26">+IF(I209="A",IF(ISBLANK(J209),"未入力あり",IF(J209="はい","○","×")),"")</f>
        <v>○</v>
      </c>
      <c r="O209" s="166"/>
    </row>
    <row r="210" spans="1:21">
      <c r="A210" s="336">
        <v>210</v>
      </c>
      <c r="C210" s="989"/>
      <c r="D210" s="1006"/>
      <c r="E210" s="458"/>
      <c r="F210" s="458"/>
      <c r="G210" s="467"/>
      <c r="H210" s="397" t="s">
        <v>875</v>
      </c>
      <c r="I210" s="398" t="s">
        <v>649</v>
      </c>
      <c r="J210" s="335">
        <v>10</v>
      </c>
      <c r="K210" s="399"/>
      <c r="M210" s="356" t="str">
        <f t="shared" si="25"/>
        <v>〇</v>
      </c>
      <c r="O210" s="166"/>
      <c r="T210" s="375">
        <v>0</v>
      </c>
      <c r="U210" s="376">
        <v>100</v>
      </c>
    </row>
    <row r="211" spans="1:21" ht="45.75" customHeight="1">
      <c r="A211" s="336">
        <v>211</v>
      </c>
      <c r="C211" s="989"/>
      <c r="D211" s="1006"/>
      <c r="E211" s="458"/>
      <c r="F211" s="458"/>
      <c r="G211" s="467"/>
      <c r="H211" s="397" t="s">
        <v>876</v>
      </c>
      <c r="I211" s="398" t="s">
        <v>649</v>
      </c>
      <c r="J211" s="111" t="s">
        <v>1940</v>
      </c>
      <c r="K211" s="399"/>
      <c r="M211" s="356" t="str">
        <f t="shared" si="25"/>
        <v>〇</v>
      </c>
      <c r="O211" s="166"/>
    </row>
    <row r="212" spans="1:21" ht="14.25" thickBot="1">
      <c r="A212" s="336">
        <v>212</v>
      </c>
      <c r="C212" s="989"/>
      <c r="D212" s="468"/>
      <c r="E212" s="469"/>
      <c r="F212" s="469"/>
      <c r="G212" s="470"/>
      <c r="H212" s="359" t="s">
        <v>879</v>
      </c>
      <c r="I212" s="360" t="str">
        <f>+IF(AND($H$3="地域がん診療病院",OR($H$4="地域がん診療病院",$H$4="地域がん診療病院(特例型)",$H$4="新規指定推薦")),"-","A")</f>
        <v>A</v>
      </c>
      <c r="J212" s="75" t="s">
        <v>1936</v>
      </c>
      <c r="K212" s="361"/>
      <c r="M212" s="356" t="str">
        <f t="shared" ref="M212:M213" si="27">+IF(I212="A",IF(ISBLANK(J212),"未入力あり",IF(J212="はい","○","×")),"")</f>
        <v>○</v>
      </c>
      <c r="O212" s="166"/>
    </row>
    <row r="213" spans="1:21" ht="14.25" thickBot="1">
      <c r="A213" s="336">
        <v>213</v>
      </c>
      <c r="C213" s="362"/>
      <c r="D213" s="468" t="s">
        <v>880</v>
      </c>
      <c r="E213" s="469"/>
      <c r="F213" s="469"/>
      <c r="G213" s="469"/>
      <c r="H213" s="402" t="s">
        <v>881</v>
      </c>
      <c r="I213" s="403" t="str">
        <f>+IF(AND($H$3="地域がん診療病院",OR($H$4="地域がん診療病院",$H$4="地域がん診療病院(特例型)",$H$4="新規指定推薦")),"-","A")</f>
        <v>A</v>
      </c>
      <c r="J213" s="75" t="s">
        <v>1936</v>
      </c>
      <c r="K213" s="392"/>
      <c r="M213" s="356" t="str">
        <f t="shared" si="27"/>
        <v>○</v>
      </c>
      <c r="O213" s="166"/>
    </row>
    <row r="214" spans="1:21" ht="14.25" thickBot="1">
      <c r="A214" s="336">
        <v>214</v>
      </c>
      <c r="C214" s="1058" t="s">
        <v>882</v>
      </c>
      <c r="D214" s="1059" t="s">
        <v>883</v>
      </c>
      <c r="E214" s="1060"/>
      <c r="F214" s="1060"/>
      <c r="G214" s="1060"/>
      <c r="H214" s="1061"/>
      <c r="I214" s="1062"/>
      <c r="J214" s="1061"/>
      <c r="K214" s="1063"/>
      <c r="O214" s="166"/>
    </row>
    <row r="215" spans="1:21" ht="14.25" thickBot="1">
      <c r="A215" s="336">
        <v>215</v>
      </c>
      <c r="C215" s="989"/>
      <c r="D215" s="1067" t="s">
        <v>611</v>
      </c>
      <c r="E215" s="1068" t="s">
        <v>884</v>
      </c>
      <c r="F215" s="1069"/>
      <c r="G215" s="1069"/>
      <c r="H215" s="1070"/>
      <c r="I215" s="1071"/>
      <c r="J215" s="1070"/>
      <c r="K215" s="1072"/>
      <c r="O215" s="166"/>
    </row>
    <row r="216" spans="1:21" ht="27.75" thickBot="1">
      <c r="A216" s="336">
        <v>216</v>
      </c>
      <c r="C216" s="989"/>
      <c r="D216" s="989"/>
      <c r="H216" s="1081" t="s">
        <v>885</v>
      </c>
      <c r="I216" s="1082" t="str">
        <f>+IF(AND($H$3="地域がん診療病院",OR($H$4="地域がん診療病院",$H$4="地域がん診療病院(特例型)",$H$4="新規指定推薦")),"-","A")</f>
        <v>A</v>
      </c>
      <c r="J216" s="75" t="s">
        <v>1936</v>
      </c>
      <c r="K216" s="1066" t="s">
        <v>886</v>
      </c>
      <c r="M216" s="356" t="str">
        <f t="shared" ref="M216:M220" si="28">+IF(I216="A",IF(ISBLANK(J216),"未入力あり",IF(J216="はい","○","×")),"")</f>
        <v>○</v>
      </c>
      <c r="O216" s="166"/>
    </row>
    <row r="217" spans="1:21" ht="14.25" thickBot="1">
      <c r="A217" s="336">
        <v>217</v>
      </c>
      <c r="C217" s="989"/>
      <c r="D217" s="989"/>
      <c r="H217" s="408" t="s">
        <v>887</v>
      </c>
      <c r="I217" s="409" t="str">
        <f>+IF(AND($H$3="地域がん診療病院",OR($H$4="地域がん診療病院",$H$4="地域がん診療病院(特例型)",$H$4="新規指定推薦")),"-","A")</f>
        <v>A</v>
      </c>
      <c r="J217" s="75" t="s">
        <v>1936</v>
      </c>
      <c r="K217" s="410"/>
      <c r="M217" s="356" t="str">
        <f t="shared" si="28"/>
        <v>○</v>
      </c>
      <c r="O217" s="166"/>
    </row>
    <row r="218" spans="1:21" ht="14.25" thickBot="1">
      <c r="A218" s="336">
        <v>218</v>
      </c>
      <c r="C218" s="989"/>
      <c r="D218" s="989"/>
      <c r="H218" s="429" t="s">
        <v>888</v>
      </c>
      <c r="I218" s="403" t="str">
        <f>+IF(AND($H$3="地域がん診療病院",OR($H$4="地域がん診療病院",$H$4="地域がん診療病院(特例型)",$H$4="新規指定推薦")),"-","A")</f>
        <v>A</v>
      </c>
      <c r="J218" s="75" t="s">
        <v>1936</v>
      </c>
      <c r="K218" s="392"/>
      <c r="M218" s="356" t="str">
        <f t="shared" si="28"/>
        <v>○</v>
      </c>
      <c r="O218" s="166"/>
    </row>
    <row r="219" spans="1:21" ht="14.25" thickBot="1">
      <c r="A219" s="336">
        <v>219</v>
      </c>
      <c r="C219" s="989"/>
      <c r="D219" s="989"/>
      <c r="E219" s="358"/>
      <c r="H219" s="384" t="s">
        <v>889</v>
      </c>
      <c r="I219" s="396" t="s">
        <v>645</v>
      </c>
      <c r="J219" s="75" t="s">
        <v>1934</v>
      </c>
      <c r="K219" s="395"/>
      <c r="M219" s="356" t="str">
        <f t="shared" ref="M219" si="29">+IF(AND($H$3="地域がん診療病院",OR($H$4="地域がん診療病院",$H$4="地域がん診療病院(特例型)",$H$4="新規指定推薦")),"",IF(ISBLANK(J219),"未入力あり","〇"))</f>
        <v>〇</v>
      </c>
      <c r="O219" s="166"/>
    </row>
    <row r="220" spans="1:21" ht="27.75" thickBot="1">
      <c r="A220" s="336">
        <v>220</v>
      </c>
      <c r="C220" s="989"/>
      <c r="D220" s="989"/>
      <c r="E220" s="1073" t="s">
        <v>802</v>
      </c>
      <c r="F220" s="1075"/>
      <c r="G220" s="1075"/>
      <c r="H220" s="1081" t="s">
        <v>890</v>
      </c>
      <c r="I220" s="1082" t="str">
        <f>+IF(AND($H$3="地域がん診療病院",OR($H$4="地域がん診療病院",$H$4="地域がん診療病院(特例型)",$H$4="新規指定推薦")),"-","A")</f>
        <v>A</v>
      </c>
      <c r="J220" s="75" t="s">
        <v>1936</v>
      </c>
      <c r="K220" s="1066" t="s">
        <v>891</v>
      </c>
      <c r="M220" s="356" t="str">
        <f t="shared" si="28"/>
        <v>○</v>
      </c>
      <c r="O220" s="166"/>
    </row>
    <row r="221" spans="1:21" ht="14.25" thickBot="1">
      <c r="A221" s="336">
        <v>221</v>
      </c>
      <c r="C221" s="989"/>
      <c r="D221" s="989"/>
      <c r="E221" s="990"/>
      <c r="F221" s="450"/>
      <c r="G221" s="450"/>
      <c r="H221" s="393" t="s">
        <v>892</v>
      </c>
      <c r="I221" s="396" t="str">
        <f>+IF(AND($H$3="地域がん診療病院",OR($H$4="地域がん診療病院",$H$4="地域がん診療病院(特例型)",$H$4="新規指定推薦")),"-","A")</f>
        <v>A</v>
      </c>
      <c r="J221" s="335">
        <v>3</v>
      </c>
      <c r="K221" s="395"/>
      <c r="M221" s="356" t="str">
        <f t="shared" ref="M221:M222" si="30">+IF(I221="A",IF(ISBLANK(J221),"未入力あり",IF(J221&gt;=1,"○","×")),"")</f>
        <v>○</v>
      </c>
      <c r="O221" s="166"/>
      <c r="T221" s="375">
        <v>0</v>
      </c>
      <c r="U221" s="376">
        <v>20</v>
      </c>
    </row>
    <row r="222" spans="1:21" ht="27.75" thickBot="1">
      <c r="A222" s="336">
        <v>222</v>
      </c>
      <c r="C222" s="989"/>
      <c r="D222" s="989"/>
      <c r="E222" s="990"/>
      <c r="F222" s="450"/>
      <c r="G222" s="450"/>
      <c r="H222" s="393" t="s">
        <v>893</v>
      </c>
      <c r="I222" s="396" t="str">
        <f>+IF(J221&gt;=2,"-",IF(AND($H$3="地域がん診療病院",OR($H$4="地域がん診療病院",$H$4="地域がん診療病院(特例型)",$H$4="新規指定推薦")),"-","A"))</f>
        <v>-</v>
      </c>
      <c r="J222" s="335">
        <v>0</v>
      </c>
      <c r="K222" s="395" t="s">
        <v>894</v>
      </c>
      <c r="M222" s="356" t="str">
        <f t="shared" si="30"/>
        <v/>
      </c>
      <c r="O222" s="166"/>
      <c r="T222" s="375">
        <v>0</v>
      </c>
      <c r="U222" s="376">
        <v>20</v>
      </c>
    </row>
    <row r="223" spans="1:21" ht="14.25" thickBot="1">
      <c r="A223" s="336">
        <v>223</v>
      </c>
      <c r="C223" s="989"/>
      <c r="D223" s="989"/>
      <c r="E223" s="990"/>
      <c r="F223" s="450"/>
      <c r="G223" s="450"/>
      <c r="H223" s="471" t="s">
        <v>895</v>
      </c>
      <c r="I223" s="417" t="str">
        <f>+IF(AND($H$3="地域がん診療病院",OR($H$4="地域がん診療病院",$H$4="地域がん診療病院(特例型)",$H$4="新規指定推薦")),"-","C")</f>
        <v>C</v>
      </c>
      <c r="J223" s="75" t="s">
        <v>1936</v>
      </c>
      <c r="K223" s="395"/>
      <c r="M223" s="356" t="str">
        <f t="shared" ref="M223:M224" si="31">IF(AND(I223="C",J223=""),"未入力あり",IF(AND(I223="C",J223&lt;&gt;""),"〇",IF(I223="-","")))</f>
        <v>〇</v>
      </c>
      <c r="O223" s="166"/>
    </row>
    <row r="224" spans="1:21" ht="14.25" thickBot="1">
      <c r="A224" s="336">
        <v>224</v>
      </c>
      <c r="C224" s="989"/>
      <c r="D224" s="989"/>
      <c r="E224" s="990"/>
      <c r="F224" s="450"/>
      <c r="G224" s="450"/>
      <c r="H224" s="442" t="s">
        <v>896</v>
      </c>
      <c r="I224" s="430" t="str">
        <f>+IF(AND($H$3="地域がん診療病院",OR($H$4="地域がん診療病院",$H$4="地域がん診療病院(特例型)",$H$4="新規指定推薦")),"-","C")</f>
        <v>C</v>
      </c>
      <c r="J224" s="335">
        <v>2</v>
      </c>
      <c r="K224" s="401" t="s">
        <v>897</v>
      </c>
      <c r="M224" s="356" t="str">
        <f t="shared" si="31"/>
        <v>〇</v>
      </c>
      <c r="O224" s="166"/>
      <c r="T224" s="375">
        <v>0</v>
      </c>
      <c r="U224" s="376">
        <v>20</v>
      </c>
    </row>
    <row r="225" spans="1:15" ht="14.25" thickBot="1">
      <c r="A225" s="336">
        <v>225</v>
      </c>
      <c r="C225" s="989"/>
      <c r="D225" s="989"/>
      <c r="E225" s="1073" t="s">
        <v>805</v>
      </c>
      <c r="F225" s="1075"/>
      <c r="G225" s="1075"/>
      <c r="H225" s="1081" t="s">
        <v>898</v>
      </c>
      <c r="I225" s="1082" t="str">
        <f>+IF(AND($H$3="地域がん診療病院",OR($H$4="地域がん診療病院",$H$4="地域がん診療病院(特例型)",$H$4="新規指定推薦")),"-","A")</f>
        <v>A</v>
      </c>
      <c r="J225" s="75" t="s">
        <v>1936</v>
      </c>
      <c r="K225" s="1066"/>
      <c r="M225" s="356" t="str">
        <f t="shared" ref="M225:M234" si="32">+IF(I225="A",IF(ISBLANK(J225),"未入力あり",IF(J225="はい","○","×")),"")</f>
        <v>○</v>
      </c>
      <c r="O225" s="166"/>
    </row>
    <row r="226" spans="1:15" ht="27.75" thickBot="1">
      <c r="A226" s="336">
        <v>226</v>
      </c>
      <c r="C226" s="989"/>
      <c r="D226" s="989"/>
      <c r="E226" s="1073" t="s">
        <v>808</v>
      </c>
      <c r="F226" s="1075"/>
      <c r="G226" s="1075"/>
      <c r="H226" s="1081" t="s">
        <v>899</v>
      </c>
      <c r="I226" s="1082" t="str">
        <f>+IF(AND($H$3="地域がん診療病院",OR($H$4="地域がん診療病院",$H$4="地域がん診療病院(特例型)",$H$4="新規指定推薦")),"-","A")</f>
        <v>A</v>
      </c>
      <c r="J226" s="75" t="s">
        <v>1936</v>
      </c>
      <c r="K226" s="1066" t="s">
        <v>900</v>
      </c>
      <c r="M226" s="356" t="str">
        <f t="shared" si="32"/>
        <v>○</v>
      </c>
      <c r="O226" s="166"/>
    </row>
    <row r="227" spans="1:15" ht="14.25" thickBot="1">
      <c r="A227" s="336">
        <v>227</v>
      </c>
      <c r="C227" s="989"/>
      <c r="D227" s="989"/>
      <c r="E227" s="990"/>
      <c r="F227" s="450"/>
      <c r="G227" s="450"/>
      <c r="H227" s="68" t="s">
        <v>901</v>
      </c>
      <c r="I227" s="382" t="str">
        <f>+IF(AND($H$3="地域がん診療病院",OR($H$4="地域がん診療病院",$H$4="地域がん診療病院(特例型)",$H$4="新規指定推薦")),"-","A")</f>
        <v>A</v>
      </c>
      <c r="J227" s="75" t="s">
        <v>1936</v>
      </c>
      <c r="K227" s="383" t="s">
        <v>902</v>
      </c>
      <c r="M227" s="356" t="str">
        <f t="shared" si="32"/>
        <v>○</v>
      </c>
      <c r="O227" s="166"/>
    </row>
    <row r="228" spans="1:15" ht="14.25" thickBot="1">
      <c r="A228" s="336">
        <v>228</v>
      </c>
      <c r="C228" s="989"/>
      <c r="D228" s="989"/>
      <c r="E228" s="1073" t="s">
        <v>810</v>
      </c>
      <c r="F228" s="1075"/>
      <c r="G228" s="1075"/>
      <c r="H228" s="1081" t="s">
        <v>903</v>
      </c>
      <c r="I228" s="1082" t="str">
        <f>+IF(AND($H$3="地域がん診療病院",OR($H$4="地域がん診療病院",$H$4="地域がん診療病院(特例型)",$H$4="新規指定推薦")),"-","A")</f>
        <v>A</v>
      </c>
      <c r="J228" s="75" t="s">
        <v>1936</v>
      </c>
      <c r="K228" s="1066"/>
      <c r="M228" s="356" t="str">
        <f t="shared" si="32"/>
        <v>○</v>
      </c>
      <c r="O228" s="166"/>
    </row>
    <row r="229" spans="1:15" ht="27.75" thickBot="1">
      <c r="A229" s="336">
        <v>229</v>
      </c>
      <c r="C229" s="989"/>
      <c r="D229" s="989"/>
      <c r="E229" s="990"/>
      <c r="F229" s="1079" t="s">
        <v>614</v>
      </c>
      <c r="G229" s="1080"/>
      <c r="H229" s="1081" t="s">
        <v>904</v>
      </c>
      <c r="I229" s="1082" t="str">
        <f>+IF(AND($H$3="地域がん診療病院",OR($H$4="地域がん診療病院",$H$4="地域がん診療病院(特例型)",$H$4="新規指定推薦")),"-","B")</f>
        <v>B</v>
      </c>
      <c r="J229" s="75" t="s">
        <v>1936</v>
      </c>
      <c r="K229" s="1066" t="s">
        <v>905</v>
      </c>
      <c r="M229" s="356" t="str">
        <f>IF(AND(I229="B",J229=""),"未入力あり",IF(AND(I229="B",J229&lt;&gt;""),"〇",IF(I229="-","")))</f>
        <v>〇</v>
      </c>
      <c r="O229" s="166"/>
    </row>
    <row r="230" spans="1:15" ht="27.75" thickBot="1">
      <c r="A230" s="336">
        <v>230</v>
      </c>
      <c r="C230" s="989"/>
      <c r="D230" s="989"/>
      <c r="E230" s="990"/>
      <c r="F230" s="1079" t="s">
        <v>619</v>
      </c>
      <c r="G230" s="1080"/>
      <c r="H230" s="1081" t="s">
        <v>906</v>
      </c>
      <c r="I230" s="1082" t="str">
        <f t="shared" ref="I230:I240" si="33">+IF(AND($H$3="地域がん診療病院",OR($H$4="地域がん診療病院",$H$4="地域がん診療病院(特例型)",$H$4="新規指定推薦")),"-","A")</f>
        <v>A</v>
      </c>
      <c r="J230" s="75" t="s">
        <v>1936</v>
      </c>
      <c r="K230" s="1066"/>
      <c r="M230" s="356" t="str">
        <f t="shared" si="32"/>
        <v>○</v>
      </c>
      <c r="O230" s="166"/>
    </row>
    <row r="231" spans="1:15" ht="14.25" thickBot="1">
      <c r="A231" s="336">
        <v>231</v>
      </c>
      <c r="C231" s="989"/>
      <c r="D231" s="989"/>
      <c r="E231" s="990"/>
      <c r="F231" s="380" t="s">
        <v>627</v>
      </c>
      <c r="G231" s="381"/>
      <c r="H231" s="68" t="s">
        <v>907</v>
      </c>
      <c r="I231" s="382" t="str">
        <f t="shared" si="33"/>
        <v>A</v>
      </c>
      <c r="J231" s="75" t="s">
        <v>1936</v>
      </c>
      <c r="K231" s="383"/>
      <c r="M231" s="356" t="str">
        <f t="shared" si="32"/>
        <v>○</v>
      </c>
      <c r="O231" s="166"/>
    </row>
    <row r="232" spans="1:15" ht="14.25" thickBot="1">
      <c r="A232" s="336">
        <v>232</v>
      </c>
      <c r="C232" s="989"/>
      <c r="D232" s="989"/>
      <c r="E232" s="990"/>
      <c r="F232" s="1079" t="s">
        <v>639</v>
      </c>
      <c r="G232" s="1083"/>
      <c r="H232" s="429" t="s">
        <v>908</v>
      </c>
      <c r="I232" s="430" t="str">
        <f t="shared" si="33"/>
        <v>A</v>
      </c>
      <c r="J232" s="75" t="s">
        <v>1936</v>
      </c>
      <c r="K232" s="401"/>
      <c r="M232" s="356" t="str">
        <f t="shared" si="32"/>
        <v>○</v>
      </c>
      <c r="O232" s="166"/>
    </row>
    <row r="233" spans="1:15" ht="14.25" thickBot="1">
      <c r="A233" s="336">
        <v>233</v>
      </c>
      <c r="C233" s="989"/>
      <c r="D233" s="989"/>
      <c r="E233" s="990"/>
      <c r="F233" s="362"/>
      <c r="G233" s="379"/>
      <c r="H233" s="359" t="s">
        <v>909</v>
      </c>
      <c r="I233" s="363" t="str">
        <f t="shared" si="33"/>
        <v>A</v>
      </c>
      <c r="J233" s="75" t="s">
        <v>1936</v>
      </c>
      <c r="K233" s="361"/>
      <c r="M233" s="356" t="str">
        <f t="shared" si="32"/>
        <v>○</v>
      </c>
      <c r="O233" s="166"/>
    </row>
    <row r="234" spans="1:15" ht="14.25" thickBot="1">
      <c r="A234" s="336">
        <v>234</v>
      </c>
      <c r="C234" s="989"/>
      <c r="D234" s="989"/>
      <c r="E234" s="990"/>
      <c r="F234" s="989" t="s">
        <v>642</v>
      </c>
      <c r="H234" s="429" t="s">
        <v>910</v>
      </c>
      <c r="I234" s="430" t="str">
        <f t="shared" si="33"/>
        <v>A</v>
      </c>
      <c r="J234" s="75" t="s">
        <v>1936</v>
      </c>
      <c r="K234" s="401"/>
      <c r="M234" s="356" t="str">
        <f t="shared" si="32"/>
        <v>○</v>
      </c>
      <c r="O234" s="166"/>
    </row>
    <row r="235" spans="1:15" ht="14.25" thickBot="1">
      <c r="A235" s="336">
        <v>235</v>
      </c>
      <c r="C235" s="989"/>
      <c r="D235" s="989"/>
      <c r="E235" s="1073" t="s">
        <v>911</v>
      </c>
      <c r="F235" s="1075"/>
      <c r="G235" s="1075"/>
      <c r="H235" s="1081" t="s">
        <v>912</v>
      </c>
      <c r="I235" s="1082" t="str">
        <f t="shared" si="33"/>
        <v>A</v>
      </c>
      <c r="J235" s="75" t="s">
        <v>1936</v>
      </c>
      <c r="K235" s="1066"/>
      <c r="M235" s="356" t="str">
        <f t="shared" ref="M235:M240" si="34">+IF(I235="A",IF(ISBLANK(J235),"未入力あり",IF(J235="はい","○","×")),"")</f>
        <v>○</v>
      </c>
      <c r="O235" s="166"/>
    </row>
    <row r="236" spans="1:15" ht="14.25" thickBot="1">
      <c r="A236" s="336">
        <v>236</v>
      </c>
      <c r="C236" s="989"/>
      <c r="D236" s="989"/>
      <c r="E236" s="456"/>
      <c r="F236" s="457"/>
      <c r="G236" s="457"/>
      <c r="H236" s="359" t="s">
        <v>913</v>
      </c>
      <c r="I236" s="363" t="str">
        <f t="shared" si="33"/>
        <v>A</v>
      </c>
      <c r="J236" s="75" t="s">
        <v>1936</v>
      </c>
      <c r="K236" s="361"/>
      <c r="M236" s="356" t="str">
        <f t="shared" si="34"/>
        <v>○</v>
      </c>
      <c r="O236" s="166"/>
    </row>
    <row r="237" spans="1:15" ht="27.75" thickBot="1">
      <c r="A237" s="336">
        <v>237</v>
      </c>
      <c r="C237" s="989"/>
      <c r="D237" s="989"/>
      <c r="E237" s="456" t="s">
        <v>914</v>
      </c>
      <c r="F237" s="457"/>
      <c r="G237" s="457"/>
      <c r="H237" s="402" t="s">
        <v>915</v>
      </c>
      <c r="I237" s="403" t="str">
        <f t="shared" si="33"/>
        <v>A</v>
      </c>
      <c r="J237" s="75" t="s">
        <v>1936</v>
      </c>
      <c r="K237" s="392"/>
      <c r="M237" s="356" t="str">
        <f t="shared" si="34"/>
        <v>○</v>
      </c>
      <c r="O237" s="166"/>
    </row>
    <row r="238" spans="1:15" ht="27.75" thickBot="1">
      <c r="A238" s="336">
        <v>238</v>
      </c>
      <c r="C238" s="989"/>
      <c r="D238" s="989"/>
      <c r="E238" s="456" t="s">
        <v>916</v>
      </c>
      <c r="F238" s="457"/>
      <c r="G238" s="457"/>
      <c r="H238" s="402" t="s">
        <v>917</v>
      </c>
      <c r="I238" s="403" t="str">
        <f t="shared" si="33"/>
        <v>A</v>
      </c>
      <c r="J238" s="75" t="s">
        <v>1936</v>
      </c>
      <c r="K238" s="392"/>
      <c r="M238" s="356" t="str">
        <f t="shared" si="34"/>
        <v>○</v>
      </c>
      <c r="O238" s="166"/>
    </row>
    <row r="239" spans="1:15" ht="14.25" thickBot="1">
      <c r="A239" s="336">
        <v>239</v>
      </c>
      <c r="C239" s="989"/>
      <c r="D239" s="989"/>
      <c r="E239" s="990" t="s">
        <v>918</v>
      </c>
      <c r="F239" s="450"/>
      <c r="G239" s="450"/>
      <c r="H239" s="429" t="s">
        <v>919</v>
      </c>
      <c r="I239" s="430" t="str">
        <f t="shared" si="33"/>
        <v>A</v>
      </c>
      <c r="J239" s="75" t="s">
        <v>1936</v>
      </c>
      <c r="K239" s="401"/>
      <c r="M239" s="356" t="str">
        <f t="shared" si="34"/>
        <v>○</v>
      </c>
      <c r="O239" s="166"/>
    </row>
    <row r="240" spans="1:15" ht="14.25" thickBot="1">
      <c r="A240" s="336">
        <v>240</v>
      </c>
      <c r="C240" s="989"/>
      <c r="D240" s="989"/>
      <c r="E240" s="990"/>
      <c r="F240" s="450"/>
      <c r="G240" s="450"/>
      <c r="H240" s="408" t="s">
        <v>920</v>
      </c>
      <c r="I240" s="431" t="str">
        <f t="shared" si="33"/>
        <v>A</v>
      </c>
      <c r="J240" s="75" t="s">
        <v>1936</v>
      </c>
      <c r="K240" s="410"/>
      <c r="M240" s="356" t="str">
        <f t="shared" si="34"/>
        <v>○</v>
      </c>
      <c r="O240" s="166"/>
    </row>
    <row r="241" spans="1:21" ht="14.25" thickBot="1">
      <c r="A241" s="336">
        <v>241</v>
      </c>
      <c r="C241" s="989"/>
      <c r="D241" s="362"/>
      <c r="E241" s="456"/>
      <c r="F241" s="457"/>
      <c r="G241" s="457"/>
      <c r="H241" s="402" t="s">
        <v>921</v>
      </c>
      <c r="I241" s="403" t="str">
        <f>+IF(AND($H$3="地域がん診療病院",OR($H$4="地域がん診療病院",$H$4="地域がん診療病院(特例型)",$H$4="新規指定推薦")),"-","C")</f>
        <v>C</v>
      </c>
      <c r="J241" s="75" t="s">
        <v>1936</v>
      </c>
      <c r="K241" s="392"/>
      <c r="M241" s="356" t="str">
        <f>IF(AND(I241="C",J241=""),"未入力あり",IF(AND(I241="C",J241&lt;&gt;""),"〇",IF(I241="-","")))</f>
        <v>〇</v>
      </c>
      <c r="O241" s="166"/>
    </row>
    <row r="242" spans="1:21" ht="14.25" thickBot="1">
      <c r="A242" s="336">
        <v>242</v>
      </c>
      <c r="C242" s="989"/>
      <c r="D242" s="1067" t="s">
        <v>754</v>
      </c>
      <c r="E242" s="1068" t="s">
        <v>922</v>
      </c>
      <c r="F242" s="1069"/>
      <c r="G242" s="1069"/>
      <c r="H242" s="1070"/>
      <c r="I242" s="1071"/>
      <c r="J242" s="1070"/>
      <c r="K242" s="1072"/>
      <c r="O242" s="166"/>
    </row>
    <row r="243" spans="1:21" ht="27.75" thickBot="1">
      <c r="A243" s="336">
        <v>243</v>
      </c>
      <c r="C243" s="989"/>
      <c r="D243" s="989"/>
      <c r="E243" s="1073" t="s">
        <v>923</v>
      </c>
      <c r="F243" s="1075"/>
      <c r="G243" s="1075"/>
      <c r="H243" s="1081" t="s">
        <v>924</v>
      </c>
      <c r="I243" s="1082" t="str">
        <f>+IF(AND($H$3="地域がん診療病院",OR($H$4="地域がん診療病院",$H$4="地域がん診療病院(特例型)",$H$4="新規指定推薦")),"-","A")</f>
        <v>A</v>
      </c>
      <c r="J243" s="75" t="s">
        <v>1936</v>
      </c>
      <c r="K243" s="1066"/>
      <c r="M243" s="356" t="str">
        <f t="shared" ref="M243:M244" si="35">+IF(I243="A",IF(ISBLANK(J243),"未入力あり",IF(J243="はい","○","×")),"")</f>
        <v>○</v>
      </c>
      <c r="O243" s="166"/>
    </row>
    <row r="244" spans="1:21" ht="14.25" thickBot="1">
      <c r="A244" s="336">
        <v>244</v>
      </c>
      <c r="C244" s="989"/>
      <c r="D244" s="989"/>
      <c r="E244" s="1073" t="s">
        <v>925</v>
      </c>
      <c r="F244" s="1075"/>
      <c r="G244" s="1075"/>
      <c r="H244" s="1081" t="s">
        <v>926</v>
      </c>
      <c r="I244" s="1082" t="str">
        <f>+IF(AND($H$3="地域がん診療病院",OR($H$4="地域がん診療病院",$H$4="地域がん診療病院(特例型)",$H$4="新規指定推薦")),"-","A")</f>
        <v>A</v>
      </c>
      <c r="J244" s="75" t="s">
        <v>1936</v>
      </c>
      <c r="K244" s="1066" t="s">
        <v>927</v>
      </c>
      <c r="M244" s="356" t="str">
        <f t="shared" si="35"/>
        <v>○</v>
      </c>
      <c r="O244" s="166"/>
    </row>
    <row r="245" spans="1:21" ht="14.25" thickBot="1">
      <c r="A245" s="336">
        <v>245</v>
      </c>
      <c r="C245" s="989"/>
      <c r="D245" s="989"/>
      <c r="E245" s="456"/>
      <c r="F245" s="457"/>
      <c r="G245" s="472"/>
      <c r="H245" s="443" t="s">
        <v>928</v>
      </c>
      <c r="I245" s="363" t="str">
        <f>+IF(AND($H$3="地域がん診療病院",OR($H$4="地域がん診療病院",$H$4="地域がん診療病院(特例型)",$H$4="新規指定推薦")),"-","A")</f>
        <v>A</v>
      </c>
      <c r="J245" s="335">
        <v>1</v>
      </c>
      <c r="K245" s="361"/>
      <c r="M245" s="356" t="str">
        <f>+IF(I245="A",IF(ISBLANK(J245),"未入力あり",IF(J245&gt;=1,"○","×")),"")</f>
        <v>○</v>
      </c>
      <c r="O245" s="166"/>
      <c r="T245" s="375">
        <v>0</v>
      </c>
      <c r="U245" s="376">
        <v>20</v>
      </c>
    </row>
    <row r="246" spans="1:21" ht="14.25" thickBot="1">
      <c r="A246" s="336">
        <v>246</v>
      </c>
      <c r="C246" s="989"/>
      <c r="D246" s="989"/>
      <c r="E246" s="456" t="s">
        <v>929</v>
      </c>
      <c r="F246" s="457"/>
      <c r="G246" s="457"/>
      <c r="H246" s="402" t="s">
        <v>930</v>
      </c>
      <c r="I246" s="403" t="str">
        <f>+IF(AND($H$3="地域がん診療病院",OR($H$4="地域がん診療病院",$H$4="地域がん診療病院(特例型)",$H$4="新規指定推薦")),"-","A")</f>
        <v>A</v>
      </c>
      <c r="J246" s="75" t="s">
        <v>1936</v>
      </c>
      <c r="K246" s="392"/>
      <c r="M246" s="356" t="str">
        <f t="shared" ref="M246:M247" si="36">+IF(I246="A",IF(ISBLANK(J246),"未入力あり",IF(J246="はい","○","×")),"")</f>
        <v>○</v>
      </c>
      <c r="O246" s="166"/>
    </row>
    <row r="247" spans="1:21" ht="14.25" thickBot="1">
      <c r="A247" s="336">
        <v>247</v>
      </c>
      <c r="C247" s="989"/>
      <c r="D247" s="362"/>
      <c r="E247" s="451" t="s">
        <v>931</v>
      </c>
      <c r="F247" s="452"/>
      <c r="G247" s="452"/>
      <c r="H247" s="68" t="s">
        <v>932</v>
      </c>
      <c r="I247" s="382" t="str">
        <f>+IF(AND($H$3="地域がん診療病院",OR($H$4="地域がん診療病院",$H$4="地域がん診療病院(特例型)",$H$4="新規指定推薦")),"-","A")</f>
        <v>A</v>
      </c>
      <c r="J247" s="75" t="s">
        <v>1936</v>
      </c>
      <c r="K247" s="383"/>
      <c r="M247" s="356" t="str">
        <f t="shared" si="36"/>
        <v>○</v>
      </c>
      <c r="O247" s="166"/>
    </row>
    <row r="248" spans="1:21" ht="14.25" thickBot="1">
      <c r="A248" s="336">
        <v>248</v>
      </c>
      <c r="C248" s="989"/>
      <c r="D248" s="1067" t="s">
        <v>800</v>
      </c>
      <c r="E248" s="1068" t="s">
        <v>933</v>
      </c>
      <c r="F248" s="1069"/>
      <c r="G248" s="1069"/>
      <c r="H248" s="1070"/>
      <c r="I248" s="1071"/>
      <c r="J248" s="1070"/>
      <c r="K248" s="1072"/>
      <c r="O248" s="166"/>
    </row>
    <row r="249" spans="1:21" ht="14.25" thickBot="1">
      <c r="A249" s="336">
        <v>249</v>
      </c>
      <c r="C249" s="989"/>
      <c r="D249" s="989"/>
      <c r="E249" s="1073" t="s">
        <v>802</v>
      </c>
      <c r="F249" s="1075"/>
      <c r="G249" s="1075"/>
      <c r="H249" s="1081" t="s">
        <v>934</v>
      </c>
      <c r="I249" s="1090" t="str">
        <f>+IF(AND($H$3="地域がん診療病院",OR($H$4="地域がん診療病院",$H$4="地域がん診療病院(特例型)",$H$4="新規指定推薦")),"-","A")</f>
        <v>A</v>
      </c>
      <c r="J249" s="75" t="s">
        <v>1936</v>
      </c>
      <c r="K249" s="1066"/>
      <c r="M249" s="356" t="str">
        <f t="shared" ref="M249:M269" si="37">+IF(I249="A",IF(ISBLANK(J249),"未入力あり",IF(J249="はい","○","×")),"")</f>
        <v>○</v>
      </c>
      <c r="O249" s="166"/>
    </row>
    <row r="250" spans="1:21" ht="27.75" thickBot="1">
      <c r="A250" s="336">
        <v>250</v>
      </c>
      <c r="C250" s="989"/>
      <c r="D250" s="989"/>
      <c r="E250" s="990"/>
      <c r="F250" s="450"/>
      <c r="G250" s="450"/>
      <c r="H250" s="408" t="s">
        <v>935</v>
      </c>
      <c r="I250" s="473" t="str">
        <f>+IF(AND($H$3="地域がん診療病院",OR($H$4="地域がん診療病院",$H$4="地域がん診療病院(特例型)",$H$4="新規指定推薦")),"-","A")</f>
        <v>A</v>
      </c>
      <c r="J250" s="75" t="s">
        <v>1936</v>
      </c>
      <c r="K250" s="410"/>
      <c r="M250" s="356" t="str">
        <f t="shared" si="37"/>
        <v>○</v>
      </c>
      <c r="O250" s="166"/>
    </row>
    <row r="251" spans="1:21" ht="14.25" thickBot="1">
      <c r="A251" s="336">
        <v>251</v>
      </c>
      <c r="B251" s="989"/>
      <c r="C251" s="989"/>
      <c r="D251" s="989"/>
      <c r="E251" s="990"/>
      <c r="F251" s="450"/>
      <c r="G251" s="450"/>
      <c r="H251" s="444" t="s">
        <v>936</v>
      </c>
      <c r="I251" s="474" t="s">
        <v>645</v>
      </c>
      <c r="J251" s="75" t="s">
        <v>1936</v>
      </c>
      <c r="K251" s="438"/>
      <c r="M251" s="356" t="str">
        <f t="shared" ref="M251" si="38">+IF(AND($H$3="地域がん診療病院",OR($H$4="地域がん診療病院",$H$4="地域がん診療病院(特例型)",$H$4="新規指定推薦")),"",IF(ISBLANK(J251),"未入力あり","〇"))</f>
        <v>〇</v>
      </c>
      <c r="O251" s="166"/>
    </row>
    <row r="252" spans="1:21" ht="14.25" thickBot="1">
      <c r="A252" s="336">
        <v>252</v>
      </c>
      <c r="B252" s="989"/>
      <c r="C252" s="989"/>
      <c r="D252" s="989"/>
      <c r="E252" s="990"/>
      <c r="F252" s="450"/>
      <c r="G252" s="450"/>
      <c r="H252" s="462" t="s">
        <v>937</v>
      </c>
      <c r="I252" s="475" t="str">
        <f>+IF(ISBLANK(J251),"A/-",IF(J251="はい","A","-"))</f>
        <v>A</v>
      </c>
      <c r="J252" s="75" t="s">
        <v>1936</v>
      </c>
      <c r="K252" s="420"/>
      <c r="M252" s="356" t="str">
        <f>+IF(I252="A",IF(ISBLANK(J252),"未入力あり",IF(J252="はい","○","×")),"")</f>
        <v>○</v>
      </c>
      <c r="O252" s="166"/>
    </row>
    <row r="253" spans="1:21" ht="14.25" thickBot="1">
      <c r="A253" s="336">
        <v>253</v>
      </c>
      <c r="B253" s="989"/>
      <c r="C253" s="989"/>
      <c r="D253" s="989"/>
      <c r="E253" s="990"/>
      <c r="F253" s="450"/>
      <c r="G253" s="450"/>
      <c r="H253" s="444" t="s">
        <v>938</v>
      </c>
      <c r="I253" s="474" t="s">
        <v>645</v>
      </c>
      <c r="J253" s="75" t="s">
        <v>1936</v>
      </c>
      <c r="K253" s="438"/>
      <c r="M253" s="356" t="str">
        <f t="shared" ref="M253" si="39">+IF(AND($H$3="地域がん診療病院",OR($H$4="地域がん診療病院",$H$4="地域がん診療病院(特例型)",$H$4="新規指定推薦")),"",IF(ISBLANK(J253),"未入力あり","〇"))</f>
        <v>〇</v>
      </c>
      <c r="O253" s="166"/>
    </row>
    <row r="254" spans="1:21" ht="14.25" thickBot="1">
      <c r="A254" s="336">
        <v>254</v>
      </c>
      <c r="B254" s="989"/>
      <c r="C254" s="989"/>
      <c r="D254" s="989"/>
      <c r="E254" s="990"/>
      <c r="F254" s="450"/>
      <c r="G254" s="450"/>
      <c r="H254" s="462" t="s">
        <v>937</v>
      </c>
      <c r="I254" s="475" t="str">
        <f>+IF(ISBLANK(J253),"A/-",IF(J253="はい","A","-"))</f>
        <v>A</v>
      </c>
      <c r="J254" s="75" t="s">
        <v>1936</v>
      </c>
      <c r="K254" s="420"/>
      <c r="M254" s="356" t="str">
        <f t="shared" si="37"/>
        <v>○</v>
      </c>
      <c r="O254" s="166"/>
    </row>
    <row r="255" spans="1:21" ht="14.25" thickBot="1">
      <c r="A255" s="336">
        <v>255</v>
      </c>
      <c r="B255" s="989"/>
      <c r="C255" s="989"/>
      <c r="D255" s="989"/>
      <c r="E255" s="990"/>
      <c r="F255" s="450"/>
      <c r="G255" s="450"/>
      <c r="H255" s="444" t="s">
        <v>939</v>
      </c>
      <c r="I255" s="474" t="s">
        <v>645</v>
      </c>
      <c r="J255" s="75" t="s">
        <v>1936</v>
      </c>
      <c r="K255" s="438"/>
      <c r="M255" s="356" t="str">
        <f t="shared" ref="M255" si="40">+IF(AND($H$3="地域がん診療病院",OR($H$4="地域がん診療病院",$H$4="地域がん診療病院(特例型)",$H$4="新規指定推薦")),"",IF(ISBLANK(J255),"未入力あり","〇"))</f>
        <v>〇</v>
      </c>
      <c r="O255" s="166"/>
    </row>
    <row r="256" spans="1:21" ht="14.25" thickBot="1">
      <c r="A256" s="336">
        <v>256</v>
      </c>
      <c r="B256" s="989"/>
      <c r="C256" s="989"/>
      <c r="D256" s="989"/>
      <c r="E256" s="990"/>
      <c r="F256" s="450"/>
      <c r="G256" s="450"/>
      <c r="H256" s="462" t="s">
        <v>937</v>
      </c>
      <c r="I256" s="475" t="str">
        <f>+IF(ISBLANK(J255),"A/-",IF(J255="はい","A","-"))</f>
        <v>A</v>
      </c>
      <c r="J256" s="75" t="s">
        <v>1936</v>
      </c>
      <c r="K256" s="420"/>
      <c r="M256" s="356" t="str">
        <f t="shared" si="37"/>
        <v>○</v>
      </c>
      <c r="O256" s="166"/>
    </row>
    <row r="257" spans="1:21" ht="14.25" thickBot="1">
      <c r="A257" s="336">
        <v>257</v>
      </c>
      <c r="B257" s="989"/>
      <c r="C257" s="989"/>
      <c r="D257" s="989"/>
      <c r="E257" s="990"/>
      <c r="F257" s="450"/>
      <c r="G257" s="450"/>
      <c r="H257" s="444" t="s">
        <v>940</v>
      </c>
      <c r="I257" s="474" t="s">
        <v>645</v>
      </c>
      <c r="J257" s="75" t="s">
        <v>1936</v>
      </c>
      <c r="K257" s="438"/>
      <c r="M257" s="356" t="str">
        <f t="shared" ref="M257" si="41">+IF(AND($H$3="地域がん診療病院",OR($H$4="地域がん診療病院",$H$4="地域がん診療病院(特例型)",$H$4="新規指定推薦")),"",IF(ISBLANK(J257),"未入力あり","〇"))</f>
        <v>〇</v>
      </c>
      <c r="O257" s="166"/>
    </row>
    <row r="258" spans="1:21" ht="14.25" thickBot="1">
      <c r="A258" s="336">
        <v>258</v>
      </c>
      <c r="B258" s="989"/>
      <c r="C258" s="989"/>
      <c r="D258" s="989"/>
      <c r="E258" s="990"/>
      <c r="F258" s="450"/>
      <c r="G258" s="450"/>
      <c r="H258" s="462" t="s">
        <v>937</v>
      </c>
      <c r="I258" s="475" t="str">
        <f>+IF(ISBLANK(J257),"A/-",IF(J257="はい","A","-"))</f>
        <v>A</v>
      </c>
      <c r="J258" s="75" t="s">
        <v>1936</v>
      </c>
      <c r="K258" s="420"/>
      <c r="M258" s="356" t="str">
        <f t="shared" si="37"/>
        <v>○</v>
      </c>
      <c r="O258" s="166"/>
    </row>
    <row r="259" spans="1:21" ht="14.25" thickBot="1">
      <c r="A259" s="336">
        <v>259</v>
      </c>
      <c r="B259" s="989"/>
      <c r="C259" s="989"/>
      <c r="D259" s="989"/>
      <c r="E259" s="990"/>
      <c r="F259" s="450"/>
      <c r="G259" s="450"/>
      <c r="H259" s="444" t="s">
        <v>941</v>
      </c>
      <c r="I259" s="474" t="s">
        <v>645</v>
      </c>
      <c r="J259" s="75" t="s">
        <v>1936</v>
      </c>
      <c r="K259" s="438"/>
      <c r="M259" s="356" t="str">
        <f t="shared" ref="M259" si="42">+IF(AND($H$3="地域がん診療病院",OR($H$4="地域がん診療病院",$H$4="地域がん診療病院(特例型)",$H$4="新規指定推薦")),"",IF(ISBLANK(J259),"未入力あり","〇"))</f>
        <v>〇</v>
      </c>
      <c r="O259" s="166"/>
    </row>
    <row r="260" spans="1:21" ht="14.25" thickBot="1">
      <c r="A260" s="336">
        <v>260</v>
      </c>
      <c r="B260" s="989"/>
      <c r="C260" s="989"/>
      <c r="D260" s="989"/>
      <c r="E260" s="990"/>
      <c r="F260" s="450"/>
      <c r="G260" s="450"/>
      <c r="H260" s="462" t="s">
        <v>937</v>
      </c>
      <c r="I260" s="475" t="str">
        <f>+IF(ISBLANK(J259),"A/-",IF(J259="はい","A","-"))</f>
        <v>A</v>
      </c>
      <c r="J260" s="75" t="s">
        <v>1936</v>
      </c>
      <c r="K260" s="420"/>
      <c r="M260" s="356" t="str">
        <f t="shared" si="37"/>
        <v>○</v>
      </c>
      <c r="O260" s="166"/>
    </row>
    <row r="261" spans="1:21" ht="14.25" thickBot="1">
      <c r="A261" s="336">
        <v>261</v>
      </c>
      <c r="C261" s="989"/>
      <c r="D261" s="989"/>
      <c r="E261" s="990"/>
      <c r="F261" s="450"/>
      <c r="G261" s="450"/>
      <c r="H261" s="402" t="s">
        <v>942</v>
      </c>
      <c r="I261" s="476" t="str">
        <f>+IF(AND($H$3="地域がん診療病院",OR($H$4="地域がん診療病院",$H$4="地域がん診療病院(特例型)",$H$4="新規指定推薦")),"-","A")</f>
        <v>A</v>
      </c>
      <c r="J261" s="75" t="s">
        <v>1936</v>
      </c>
      <c r="K261" s="392"/>
      <c r="M261" s="356" t="str">
        <f t="shared" si="37"/>
        <v>○</v>
      </c>
      <c r="O261" s="166"/>
    </row>
    <row r="262" spans="1:21" ht="14.25" thickBot="1">
      <c r="A262" s="336">
        <v>262</v>
      </c>
      <c r="C262" s="989"/>
      <c r="D262" s="989"/>
      <c r="E262" s="1073" t="s">
        <v>805</v>
      </c>
      <c r="F262" s="1075"/>
      <c r="G262" s="1075"/>
      <c r="H262" s="1081" t="s">
        <v>943</v>
      </c>
      <c r="I262" s="1090" t="str">
        <f>+IF(AND($H$3="地域がん診療病院",OR($H$4="地域がん診療病院",$H$4="地域がん診療病院(特例型)",$H$4="新規指定推薦")),"-","A")</f>
        <v>A</v>
      </c>
      <c r="J262" s="75" t="s">
        <v>1936</v>
      </c>
      <c r="K262" s="1066"/>
      <c r="M262" s="356" t="str">
        <f t="shared" si="37"/>
        <v>○</v>
      </c>
      <c r="O262" s="166"/>
    </row>
    <row r="263" spans="1:21" ht="27.75" thickBot="1">
      <c r="A263" s="336">
        <v>263</v>
      </c>
      <c r="C263" s="989"/>
      <c r="D263" s="989"/>
      <c r="E263" s="990"/>
      <c r="F263" s="450"/>
      <c r="G263" s="450"/>
      <c r="H263" s="359" t="s">
        <v>944</v>
      </c>
      <c r="I263" s="477" t="str">
        <f>+IF(AND($H$3="地域がん診療病院",OR($H$4="地域がん診療病院",$H$4="地域がん診療病院(特例型)",$H$4="新規指定推薦")),"-","A")</f>
        <v>A</v>
      </c>
      <c r="J263" s="75" t="s">
        <v>1936</v>
      </c>
      <c r="K263" s="361"/>
      <c r="M263" s="356" t="str">
        <f t="shared" si="37"/>
        <v>○</v>
      </c>
      <c r="O263" s="166"/>
    </row>
    <row r="264" spans="1:21" ht="14.25" thickBot="1">
      <c r="A264" s="336">
        <v>264</v>
      </c>
      <c r="C264" s="989"/>
      <c r="D264" s="989"/>
      <c r="E264" s="1073" t="s">
        <v>808</v>
      </c>
      <c r="F264" s="1075"/>
      <c r="G264" s="1075"/>
      <c r="H264" s="1081" t="s">
        <v>945</v>
      </c>
      <c r="I264" s="478" t="str">
        <f>+IF(AND($H$3="地域がん診療病院",OR($H$4="地域がん診療病院",$H$4="地域がん診療病院(特例型)",$H$4="新規指定推薦")),"-","A")</f>
        <v>A</v>
      </c>
      <c r="J264" s="75" t="s">
        <v>1936</v>
      </c>
      <c r="K264" s="383"/>
      <c r="M264" s="356" t="str">
        <f t="shared" si="37"/>
        <v>○</v>
      </c>
      <c r="O264" s="166"/>
    </row>
    <row r="265" spans="1:21" ht="14.25" thickBot="1">
      <c r="A265" s="336">
        <v>265</v>
      </c>
      <c r="C265" s="989"/>
      <c r="D265" s="989"/>
      <c r="E265" s="456"/>
      <c r="F265" s="457"/>
      <c r="G265" s="472"/>
      <c r="H265" s="384" t="s">
        <v>946</v>
      </c>
      <c r="I265" s="479" t="s">
        <v>645</v>
      </c>
      <c r="J265" s="335">
        <v>1</v>
      </c>
      <c r="K265" s="480" t="s">
        <v>947</v>
      </c>
      <c r="M265" s="356" t="str">
        <f t="shared" ref="M265" si="43">+IF(AND($H$3="地域がん診療病院",OR($H$4="地域がん診療病院",$H$4="地域がん診療病院(特例型)",$H$4="新規指定推薦")),"",IF(ISBLANK(J265),"未入力あり","〇"))</f>
        <v>〇</v>
      </c>
      <c r="O265" s="166"/>
    </row>
    <row r="266" spans="1:21" ht="14.25" thickBot="1">
      <c r="A266" s="336">
        <v>266</v>
      </c>
      <c r="C266" s="989"/>
      <c r="D266" s="989"/>
      <c r="E266" s="451" t="s">
        <v>810</v>
      </c>
      <c r="F266" s="452"/>
      <c r="G266" s="452"/>
      <c r="H266" s="68" t="s">
        <v>948</v>
      </c>
      <c r="I266" s="478" t="str">
        <f>+IF(AND($H$3="地域がん診療病院",OR($H$4="地域がん診療病院",$H$4="地域がん診療病院(特例型)",$H$4="新規指定推薦")),"-","A")</f>
        <v>A</v>
      </c>
      <c r="J266" s="75" t="s">
        <v>1936</v>
      </c>
      <c r="K266" s="383"/>
      <c r="M266" s="356" t="str">
        <f t="shared" si="37"/>
        <v>○</v>
      </c>
      <c r="O266" s="166"/>
      <c r="T266" s="375">
        <v>0</v>
      </c>
      <c r="U266" s="376">
        <v>100</v>
      </c>
    </row>
    <row r="267" spans="1:21" ht="27.75" thickBot="1">
      <c r="A267" s="336">
        <v>267</v>
      </c>
      <c r="C267" s="989"/>
      <c r="D267" s="989"/>
      <c r="E267" s="456" t="s">
        <v>911</v>
      </c>
      <c r="F267" s="457"/>
      <c r="G267" s="457"/>
      <c r="H267" s="402" t="s">
        <v>949</v>
      </c>
      <c r="I267" s="476" t="str">
        <f>+IF(AND($H$3="地域がん診療病院",OR($H$4="地域がん診療病院",$H$4="地域がん診療病院(特例型)",$H$4="新規指定推薦")),"-","A")</f>
        <v>A</v>
      </c>
      <c r="J267" s="75" t="s">
        <v>1936</v>
      </c>
      <c r="K267" s="392" t="s">
        <v>950</v>
      </c>
      <c r="M267" s="356" t="str">
        <f t="shared" si="37"/>
        <v>○</v>
      </c>
      <c r="O267" s="166"/>
    </row>
    <row r="268" spans="1:21" ht="27.75" thickBot="1">
      <c r="A268" s="336">
        <v>268</v>
      </c>
      <c r="C268" s="989"/>
      <c r="D268" s="989"/>
      <c r="E268" s="990" t="s">
        <v>914</v>
      </c>
      <c r="F268" s="450"/>
      <c r="G268" s="450"/>
      <c r="H268" s="429" t="s">
        <v>951</v>
      </c>
      <c r="I268" s="481" t="str">
        <f>+IF(AND($H$3="地域がん診療病院",OR($H$4="地域がん診療病院",$H$4="地域がん診療病院(特例型)",$H$4="新規指定推薦")),"-","A")</f>
        <v>A</v>
      </c>
      <c r="J268" s="75" t="s">
        <v>1936</v>
      </c>
      <c r="K268" s="401"/>
      <c r="M268" s="356" t="str">
        <f t="shared" si="37"/>
        <v>○</v>
      </c>
      <c r="O268" s="166"/>
    </row>
    <row r="269" spans="1:21" ht="27.75" thickBot="1">
      <c r="A269" s="336">
        <v>269</v>
      </c>
      <c r="C269" s="362"/>
      <c r="D269" s="362"/>
      <c r="E269" s="456"/>
      <c r="F269" s="457"/>
      <c r="G269" s="457"/>
      <c r="H269" s="359" t="s">
        <v>952</v>
      </c>
      <c r="I269" s="477" t="str">
        <f>+IF(AND($H$3="地域がん診療病院",OR($H$4="地域がん診療病院",$H$4="地域がん診療病院(特例型)",$H$4="新規指定推薦")),"-","A")</f>
        <v>A</v>
      </c>
      <c r="J269" s="75" t="s">
        <v>1936</v>
      </c>
      <c r="K269" s="361"/>
      <c r="M269" s="356" t="str">
        <f t="shared" si="37"/>
        <v>○</v>
      </c>
      <c r="O269" s="166"/>
    </row>
    <row r="270" spans="1:21" ht="14.25" thickBot="1">
      <c r="A270" s="336">
        <v>270</v>
      </c>
      <c r="C270" s="1058" t="s">
        <v>953</v>
      </c>
      <c r="D270" s="1059" t="s">
        <v>954</v>
      </c>
      <c r="E270" s="1060"/>
      <c r="F270" s="1060"/>
      <c r="G270" s="1060"/>
      <c r="H270" s="1061"/>
      <c r="I270" s="1062"/>
      <c r="J270" s="1061"/>
      <c r="K270" s="1063"/>
      <c r="O270" s="166"/>
    </row>
    <row r="271" spans="1:21" ht="14.25" thickBot="1">
      <c r="A271" s="336">
        <v>271</v>
      </c>
      <c r="C271" s="989"/>
      <c r="D271" s="1089" t="s">
        <v>853</v>
      </c>
      <c r="E271" s="1069"/>
      <c r="F271" s="1069"/>
      <c r="G271" s="1069"/>
      <c r="H271" s="1081" t="s">
        <v>955</v>
      </c>
      <c r="I271" s="1090" t="str">
        <f>+IF(AND($H$3="地域がん診療病院",OR($H$4="地域がん診療病院",$H$4="地域がん診療病院(特例型)",$H$4="新規指定推薦")),"-","A")</f>
        <v>A</v>
      </c>
      <c r="J271" s="75" t="s">
        <v>1936</v>
      </c>
      <c r="K271" s="1066"/>
      <c r="M271" s="356" t="str">
        <f t="shared" ref="M271:M272" si="44">+IF(I271="A",IF(ISBLANK(J271),"未入力あり",IF(J271="はい","○","×")),"")</f>
        <v>○</v>
      </c>
      <c r="O271" s="166"/>
    </row>
    <row r="272" spans="1:21" ht="14.25" thickBot="1">
      <c r="A272" s="336">
        <v>272</v>
      </c>
      <c r="C272" s="989"/>
      <c r="D272" s="1006"/>
      <c r="E272" s="458"/>
      <c r="F272" s="458"/>
      <c r="G272" s="458"/>
      <c r="H272" s="359" t="s">
        <v>956</v>
      </c>
      <c r="I272" s="477" t="str">
        <f>+IF(AND($H$3="地域がん診療病院",OR($H$4="地域がん診療病院",$H$4="地域がん診療病院(特例型)",$H$4="新規指定推薦")),"-","A")</f>
        <v>A</v>
      </c>
      <c r="J272" s="75" t="s">
        <v>1936</v>
      </c>
      <c r="K272" s="361" t="s">
        <v>957</v>
      </c>
      <c r="M272" s="356" t="str">
        <f t="shared" si="44"/>
        <v>○</v>
      </c>
      <c r="O272" s="166"/>
    </row>
    <row r="273" spans="1:21" ht="14.25" thickBot="1">
      <c r="A273" s="336">
        <v>273</v>
      </c>
      <c r="C273" s="989"/>
      <c r="D273" s="1089" t="s">
        <v>857</v>
      </c>
      <c r="E273" s="1069"/>
      <c r="F273" s="1069"/>
      <c r="G273" s="1069"/>
      <c r="H273" s="1081" t="s">
        <v>958</v>
      </c>
      <c r="I273" s="1090"/>
      <c r="J273" s="1082"/>
      <c r="K273" s="1066" t="s">
        <v>959</v>
      </c>
      <c r="O273" s="166"/>
    </row>
    <row r="274" spans="1:21" ht="14.25" thickBot="1">
      <c r="A274" s="336">
        <v>274</v>
      </c>
      <c r="C274" s="989"/>
      <c r="D274" s="1006"/>
      <c r="E274" s="458"/>
      <c r="F274" s="458"/>
      <c r="G274" s="458"/>
      <c r="H274" s="482" t="s">
        <v>960</v>
      </c>
      <c r="I274" s="483" t="s">
        <v>645</v>
      </c>
      <c r="J274" s="75" t="s">
        <v>1936</v>
      </c>
      <c r="K274" s="461"/>
      <c r="M274" s="356" t="str">
        <f t="shared" ref="M274" si="45">+IF(AND($H$3="地域がん診療病院",OR($H$4="地域がん診療病院",$H$4="地域がん診療病院(特例型)",$H$4="新規指定推薦")),"",IF(ISBLANK(J274),"未入力あり","〇"))</f>
        <v>〇</v>
      </c>
      <c r="O274" s="166"/>
    </row>
    <row r="275" spans="1:21" ht="14.25" thickBot="1">
      <c r="A275" s="336">
        <v>275</v>
      </c>
      <c r="C275" s="989"/>
      <c r="D275" s="1006"/>
      <c r="E275" s="458"/>
      <c r="F275" s="458"/>
      <c r="G275" s="458"/>
      <c r="H275" s="397" t="s">
        <v>961</v>
      </c>
      <c r="I275" s="479" t="str">
        <f>+IF(AND($H$3="地域がん診療病院",OR($H$4="地域がん診療病院",$H$4="地域がん診療病院(特例型)",$H$4="新規指定推薦")),"-",IF(ISBLANK($J$274),"A/-",IF($J$274="はい","A","-")))</f>
        <v>A</v>
      </c>
      <c r="J275" s="75" t="s">
        <v>1936</v>
      </c>
      <c r="K275" s="484" t="s">
        <v>962</v>
      </c>
      <c r="M275" s="356" t="str">
        <f t="shared" ref="M275" si="46">+IF(I275="A",IF(ISBLANK(J275),"未入力あり",IF(J275="はい","○","×")),"")</f>
        <v>○</v>
      </c>
      <c r="O275" s="166"/>
    </row>
    <row r="276" spans="1:21" ht="14.25" thickBot="1">
      <c r="A276" s="336">
        <v>276</v>
      </c>
      <c r="C276" s="989"/>
      <c r="D276" s="1006"/>
      <c r="E276" s="458"/>
      <c r="F276" s="458"/>
      <c r="G276" s="458"/>
      <c r="H276" s="462" t="s">
        <v>963</v>
      </c>
      <c r="I276" s="479" t="str">
        <f>+IF(AND($H$3="地域がん診療病院",OR($H$4="地域がん診療病院",$H$4="地域がん診療病院(特例型)",$H$4="新規指定推薦")),"-",IF(ISBLANK($J$274),"A/-",IF($J$274="はい","A","-")))</f>
        <v>A</v>
      </c>
      <c r="J276" s="335">
        <v>1</v>
      </c>
      <c r="K276" s="480"/>
      <c r="M276" s="356" t="str">
        <f>+IF(I276="A",IF(ISBLANK(J276),"未入力あり",IF(J276&gt;=1,"○","×")),"")</f>
        <v>○</v>
      </c>
      <c r="O276" s="166"/>
      <c r="T276" s="375">
        <v>0</v>
      </c>
      <c r="U276" s="376">
        <v>20</v>
      </c>
    </row>
    <row r="277" spans="1:21" ht="14.25" thickBot="1">
      <c r="A277" s="336">
        <v>277</v>
      </c>
      <c r="C277" s="989"/>
      <c r="D277" s="1006"/>
      <c r="E277" s="458"/>
      <c r="F277" s="458"/>
      <c r="G277" s="458"/>
      <c r="H277" s="429" t="s">
        <v>964</v>
      </c>
      <c r="I277" s="481"/>
      <c r="J277" s="1082"/>
      <c r="K277" s="401"/>
      <c r="O277" s="166"/>
    </row>
    <row r="278" spans="1:21" ht="14.25" thickBot="1">
      <c r="A278" s="336">
        <v>278</v>
      </c>
      <c r="C278" s="989"/>
      <c r="D278" s="1006"/>
      <c r="E278" s="458"/>
      <c r="F278" s="458"/>
      <c r="G278" s="458"/>
      <c r="H278" s="482" t="s">
        <v>965</v>
      </c>
      <c r="I278" s="483" t="s">
        <v>645</v>
      </c>
      <c r="J278" s="75" t="s">
        <v>1936</v>
      </c>
      <c r="K278" s="461"/>
      <c r="M278" s="356" t="str">
        <f t="shared" ref="M278" si="47">+IF(AND($H$3="地域がん診療病院",OR($H$4="地域がん診療病院",$H$4="地域がん診療病院(特例型)",$H$4="新規指定推薦")),"",IF(ISBLANK(J278),"未入力あり","〇"))</f>
        <v>〇</v>
      </c>
      <c r="O278" s="166"/>
    </row>
    <row r="279" spans="1:21" ht="14.25" thickBot="1">
      <c r="A279" s="336">
        <v>279</v>
      </c>
      <c r="C279" s="989"/>
      <c r="D279" s="1006"/>
      <c r="E279" s="458"/>
      <c r="F279" s="458"/>
      <c r="G279" s="458"/>
      <c r="H279" s="462" t="s">
        <v>966</v>
      </c>
      <c r="I279" s="479" t="str">
        <f>+IF(AND($H$3="地域がん診療病院",OR($H$4="地域がん診療病院",$H$4="地域がん診療病院(特例型)",$H$4="新規指定推薦")),"-",IF(ISBLANK($J$278),"A/-",IF($J$278="はい","A","-")))</f>
        <v>A</v>
      </c>
      <c r="J279" s="75" t="s">
        <v>1936</v>
      </c>
      <c r="K279" s="480" t="s">
        <v>967</v>
      </c>
      <c r="M279" s="356" t="str">
        <f t="shared" ref="M279:M280" si="48">+IF(I279="A",IF(ISBLANK(J279),"未入力あり",IF(J279="はい","○","×")),"")</f>
        <v>○</v>
      </c>
      <c r="O279" s="166"/>
    </row>
    <row r="280" spans="1:21" ht="14.25" thickBot="1">
      <c r="A280" s="336">
        <v>280</v>
      </c>
      <c r="C280" s="362"/>
      <c r="D280" s="468"/>
      <c r="E280" s="469"/>
      <c r="F280" s="469"/>
      <c r="G280" s="469"/>
      <c r="H280" s="359" t="s">
        <v>968</v>
      </c>
      <c r="I280" s="477" t="str">
        <f>+IF(AND($H$3="地域がん診療病院",OR($H$4="地域がん診療病院",$H$4="地域がん診療病院(特例型)",$H$4="新規指定推薦")),"-",IF(OR(J274="はい",J278="はい"),"A",IF(AND(J274="いいえ",J278="いいえ"),"-","A/-")))</f>
        <v>A</v>
      </c>
      <c r="J280" s="75" t="s">
        <v>1936</v>
      </c>
      <c r="K280" s="361"/>
      <c r="M280" s="356" t="str">
        <f t="shared" si="48"/>
        <v>○</v>
      </c>
      <c r="O280" s="166"/>
    </row>
    <row r="281" spans="1:21" ht="14.25" thickBot="1">
      <c r="A281" s="336">
        <v>281</v>
      </c>
      <c r="C281" s="1058" t="s">
        <v>969</v>
      </c>
      <c r="D281" s="1059" t="s">
        <v>970</v>
      </c>
      <c r="E281" s="1060"/>
      <c r="F281" s="1060"/>
      <c r="G281" s="1060"/>
      <c r="H281" s="1061"/>
      <c r="I281" s="1062"/>
      <c r="J281" s="1061"/>
      <c r="K281" s="1063"/>
      <c r="O281" s="166"/>
    </row>
    <row r="282" spans="1:21" ht="27.75" thickBot="1">
      <c r="A282" s="336">
        <v>282</v>
      </c>
      <c r="C282" s="989"/>
      <c r="D282" s="1089" t="s">
        <v>853</v>
      </c>
      <c r="E282" s="1069"/>
      <c r="F282" s="1069"/>
      <c r="G282" s="1069"/>
      <c r="H282" s="1081" t="s">
        <v>971</v>
      </c>
      <c r="I282" s="1082" t="str">
        <f>+IF(AND($H$3="地域がん診療病院",OR($H$4="地域がん診療病院",$H$4="地域がん診療病院(特例型)",$H$4="新規指定推薦")),"-","A")</f>
        <v>A</v>
      </c>
      <c r="J282" s="75" t="s">
        <v>1936</v>
      </c>
      <c r="K282" s="1066"/>
      <c r="M282" s="356" t="str">
        <f t="shared" ref="M282:M285" si="49">+IF(I282="A",IF(ISBLANK(J282),"未入力あり",IF(J282="はい","○","×")),"")</f>
        <v>○</v>
      </c>
      <c r="O282" s="166"/>
    </row>
    <row r="283" spans="1:21" ht="14.25" thickBot="1">
      <c r="A283" s="336">
        <v>283</v>
      </c>
      <c r="C283" s="989"/>
      <c r="D283" s="1006"/>
      <c r="E283" s="458"/>
      <c r="F283" s="458"/>
      <c r="G283" s="458"/>
      <c r="H283" s="359" t="s">
        <v>972</v>
      </c>
      <c r="I283" s="360" t="str">
        <f>+IF(AND($H$3="地域がん診療病院",OR($H$4="地域がん診療病院",$H$4="地域がん診療病院(特例型)",$H$4="新規指定推薦")),"-","A")</f>
        <v>A</v>
      </c>
      <c r="J283" s="75" t="s">
        <v>1936</v>
      </c>
      <c r="K283" s="361"/>
      <c r="M283" s="356" t="str">
        <f t="shared" si="49"/>
        <v>○</v>
      </c>
      <c r="O283" s="166"/>
    </row>
    <row r="284" spans="1:21" ht="14.25" thickBot="1">
      <c r="A284" s="336">
        <v>284</v>
      </c>
      <c r="C284" s="989"/>
      <c r="D284" s="465" t="s">
        <v>857</v>
      </c>
      <c r="E284" s="466"/>
      <c r="F284" s="466"/>
      <c r="G284" s="466"/>
      <c r="H284" s="68" t="s">
        <v>973</v>
      </c>
      <c r="I284" s="382" t="str">
        <f>+IF(AND($H$3="地域がん診療病院",OR($H$4="地域がん診療病院",$H$4="地域がん診療病院(特例型)",$H$4="新規指定推薦")),"-","A")</f>
        <v>A</v>
      </c>
      <c r="J284" s="75" t="s">
        <v>1936</v>
      </c>
      <c r="K284" s="383" t="s">
        <v>974</v>
      </c>
      <c r="M284" s="356" t="str">
        <f t="shared" si="49"/>
        <v>○</v>
      </c>
      <c r="O284" s="166"/>
    </row>
    <row r="285" spans="1:21" ht="27.75" thickBot="1">
      <c r="A285" s="336">
        <v>285</v>
      </c>
      <c r="C285" s="989"/>
      <c r="D285" s="1006" t="s">
        <v>859</v>
      </c>
      <c r="E285" s="458"/>
      <c r="F285" s="458"/>
      <c r="G285" s="458"/>
      <c r="H285" s="364" t="s">
        <v>975</v>
      </c>
      <c r="I285" s="365" t="str">
        <f>+IF(AND($H$3="地域がん診療病院",OR($H$4="地域がん診療病院",$H$4="地域がん診療病院(特例型)",$H$4="新規指定推薦")),"-","A")</f>
        <v>A</v>
      </c>
      <c r="J285" s="75" t="s">
        <v>1936</v>
      </c>
      <c r="K285" s="366" t="s">
        <v>976</v>
      </c>
      <c r="M285" s="356" t="str">
        <f t="shared" si="49"/>
        <v>○</v>
      </c>
      <c r="O285" s="166"/>
    </row>
    <row r="286" spans="1:21" ht="42.75" customHeight="1" thickBot="1">
      <c r="A286" s="336">
        <v>286</v>
      </c>
      <c r="C286" s="989"/>
      <c r="D286" s="1006"/>
      <c r="E286" s="458"/>
      <c r="F286" s="458"/>
      <c r="G286" s="458"/>
      <c r="H286" s="485" t="s">
        <v>977</v>
      </c>
      <c r="I286" s="486" t="s">
        <v>645</v>
      </c>
      <c r="J286" s="1146" t="s">
        <v>1941</v>
      </c>
      <c r="K286" s="471" t="s">
        <v>978</v>
      </c>
      <c r="M286" s="356" t="str">
        <f>+IF(AND($J$285="はい",J286=""),"未入力あり",IF(AND($J$285="はい",J286&lt;&gt;""),"〇",""))</f>
        <v>〇</v>
      </c>
      <c r="O286" s="166"/>
    </row>
    <row r="287" spans="1:21" ht="14.25" thickBot="1">
      <c r="A287" s="336">
        <v>287</v>
      </c>
      <c r="C287" s="989"/>
      <c r="D287" s="468"/>
      <c r="E287" s="469"/>
      <c r="F287" s="469"/>
      <c r="G287" s="470"/>
      <c r="H287" s="384" t="s">
        <v>979</v>
      </c>
      <c r="I287" s="487" t="s">
        <v>645</v>
      </c>
      <c r="J287" s="335">
        <v>202002</v>
      </c>
      <c r="K287" s="488" t="s">
        <v>978</v>
      </c>
      <c r="M287" s="356" t="str">
        <f>+IF(AND($J$285="はい",J287=""),"未入力あり",IF(AND($J$285="はい",J287&lt;&gt;""),"〇",""))</f>
        <v>〇</v>
      </c>
      <c r="O287" s="166"/>
    </row>
    <row r="288" spans="1:21" ht="14.25" thickBot="1">
      <c r="A288" s="336">
        <v>288</v>
      </c>
      <c r="C288" s="1058" t="s">
        <v>980</v>
      </c>
      <c r="D288" s="1059" t="s">
        <v>981</v>
      </c>
      <c r="E288" s="1060"/>
      <c r="F288" s="1060"/>
      <c r="G288" s="1060"/>
      <c r="H288" s="1061"/>
      <c r="I288" s="1062"/>
      <c r="J288" s="1061"/>
      <c r="K288" s="1063"/>
      <c r="O288" s="166"/>
    </row>
    <row r="289" spans="1:15" ht="27.75" thickBot="1">
      <c r="A289" s="336">
        <v>289</v>
      </c>
      <c r="C289" s="989"/>
      <c r="H289" s="489" t="s">
        <v>982</v>
      </c>
      <c r="I289" s="433"/>
      <c r="J289" s="489"/>
      <c r="K289" s="434"/>
      <c r="O289" s="166"/>
    </row>
    <row r="290" spans="1:15" ht="14.25" thickBot="1">
      <c r="A290" s="336">
        <v>290</v>
      </c>
      <c r="C290" s="989"/>
      <c r="H290" s="68" t="s">
        <v>983</v>
      </c>
      <c r="I290" s="490" t="s">
        <v>645</v>
      </c>
      <c r="J290" s="75" t="s">
        <v>1934</v>
      </c>
      <c r="K290" s="491" t="s">
        <v>984</v>
      </c>
      <c r="M290" s="356" t="str">
        <f>+IF(AND($H$3="地域がん診療病院",OR($H$4="地域がん診療病院",$H$4="地域がん診療病院(特例型)",$H$4="新規指定推薦")),"",IF(ISBLANK(J290),"未入力あり","〇"))</f>
        <v>〇</v>
      </c>
      <c r="O290" s="166"/>
    </row>
    <row r="291" spans="1:15" ht="14.25" thickBot="1">
      <c r="A291" s="336">
        <v>291</v>
      </c>
      <c r="C291" s="989"/>
      <c r="D291" s="1089" t="s">
        <v>853</v>
      </c>
      <c r="E291" s="1069"/>
      <c r="F291" s="1069"/>
      <c r="G291" s="1069"/>
      <c r="H291" s="1081" t="s">
        <v>985</v>
      </c>
      <c r="I291" s="492" t="str">
        <f t="shared" ref="I291:I297" si="50">+IF(AND($H$3="地域がん診療病院",OR($H$4="地域がん診療病院",$H$4="地域がん診療病院(特例型)",$H$4="新規指定推薦")),"-",IF(ISBLANK($J$290),"A/-",IF($J$290="はい","A","-")))</f>
        <v>-</v>
      </c>
      <c r="J291" s="75"/>
      <c r="K291" s="493"/>
      <c r="M291" s="356" t="str">
        <f t="shared" ref="M291:M297" si="51">+IF(I291="A",IF(ISBLANK(J291),"未入力あり",IF(J291="はい","○","×")),"")</f>
        <v/>
      </c>
      <c r="O291" s="166"/>
    </row>
    <row r="292" spans="1:15" ht="14.25" thickBot="1">
      <c r="A292" s="336">
        <v>292</v>
      </c>
      <c r="C292" s="989"/>
      <c r="D292" s="1089" t="s">
        <v>857</v>
      </c>
      <c r="E292" s="1069"/>
      <c r="F292" s="1069"/>
      <c r="G292" s="1069"/>
      <c r="H292" s="1081" t="s">
        <v>986</v>
      </c>
      <c r="I292" s="492" t="str">
        <f t="shared" si="50"/>
        <v>-</v>
      </c>
      <c r="J292" s="75"/>
      <c r="K292" s="493"/>
      <c r="M292" s="356" t="str">
        <f t="shared" si="51"/>
        <v/>
      </c>
      <c r="O292" s="166"/>
    </row>
    <row r="293" spans="1:15" ht="14.25" thickBot="1">
      <c r="A293" s="336">
        <v>293</v>
      </c>
      <c r="C293" s="989"/>
      <c r="D293" s="1089" t="s">
        <v>859</v>
      </c>
      <c r="E293" s="1069"/>
      <c r="F293" s="1069"/>
      <c r="G293" s="1069"/>
      <c r="H293" s="1081" t="s">
        <v>987</v>
      </c>
      <c r="I293" s="492" t="str">
        <f t="shared" si="50"/>
        <v>-</v>
      </c>
      <c r="J293" s="75"/>
      <c r="K293" s="493"/>
      <c r="M293" s="356" t="str">
        <f t="shared" si="51"/>
        <v/>
      </c>
      <c r="O293" s="166"/>
    </row>
    <row r="294" spans="1:15" ht="14.25" thickBot="1">
      <c r="A294" s="336">
        <v>294</v>
      </c>
      <c r="C294" s="989"/>
      <c r="D294" s="465" t="s">
        <v>868</v>
      </c>
      <c r="E294" s="466"/>
      <c r="F294" s="466"/>
      <c r="G294" s="466"/>
      <c r="H294" s="68" t="s">
        <v>988</v>
      </c>
      <c r="I294" s="492" t="str">
        <f t="shared" si="50"/>
        <v>-</v>
      </c>
      <c r="J294" s="75"/>
      <c r="K294" s="493"/>
      <c r="M294" s="356" t="str">
        <f t="shared" si="51"/>
        <v/>
      </c>
      <c r="O294" s="166"/>
    </row>
    <row r="295" spans="1:15" ht="14.25" thickBot="1">
      <c r="A295" s="336">
        <v>295</v>
      </c>
      <c r="C295" s="989"/>
      <c r="D295" s="468" t="s">
        <v>870</v>
      </c>
      <c r="E295" s="469"/>
      <c r="F295" s="469"/>
      <c r="G295" s="469"/>
      <c r="H295" s="402" t="s">
        <v>989</v>
      </c>
      <c r="I295" s="492" t="str">
        <f t="shared" si="50"/>
        <v>-</v>
      </c>
      <c r="J295" s="75"/>
      <c r="K295" s="493"/>
      <c r="M295" s="356" t="str">
        <f t="shared" si="51"/>
        <v/>
      </c>
      <c r="O295" s="166"/>
    </row>
    <row r="296" spans="1:15" ht="14.25" thickBot="1">
      <c r="A296" s="336">
        <v>296</v>
      </c>
      <c r="C296" s="989"/>
      <c r="D296" s="468" t="s">
        <v>872</v>
      </c>
      <c r="E296" s="469"/>
      <c r="F296" s="469"/>
      <c r="G296" s="469"/>
      <c r="H296" s="402" t="s">
        <v>990</v>
      </c>
      <c r="I296" s="492" t="str">
        <f t="shared" si="50"/>
        <v>-</v>
      </c>
      <c r="J296" s="75"/>
      <c r="K296" s="493"/>
      <c r="M296" s="356" t="str">
        <f t="shared" si="51"/>
        <v/>
      </c>
      <c r="O296" s="166"/>
    </row>
    <row r="297" spans="1:15" ht="14.25" thickBot="1">
      <c r="A297" s="336">
        <v>297</v>
      </c>
      <c r="B297" s="358"/>
      <c r="C297" s="362"/>
      <c r="D297" s="468" t="s">
        <v>877</v>
      </c>
      <c r="E297" s="469"/>
      <c r="F297" s="469"/>
      <c r="G297" s="469"/>
      <c r="H297" s="402" t="s">
        <v>991</v>
      </c>
      <c r="I297" s="492" t="str">
        <f t="shared" si="50"/>
        <v>-</v>
      </c>
      <c r="J297" s="75"/>
      <c r="K297" s="493"/>
      <c r="M297" s="356" t="str">
        <f t="shared" si="51"/>
        <v/>
      </c>
      <c r="O297" s="166"/>
    </row>
    <row r="298" spans="1:15" ht="14.25" thickBot="1">
      <c r="A298" s="336">
        <v>298</v>
      </c>
      <c r="B298" s="1053" t="s">
        <v>591</v>
      </c>
      <c r="C298" s="1054" t="s">
        <v>992</v>
      </c>
      <c r="D298" s="1053"/>
      <c r="E298" s="1053"/>
      <c r="F298" s="1053"/>
      <c r="G298" s="1053"/>
      <c r="H298" s="1055"/>
      <c r="I298" s="1056"/>
      <c r="J298" s="1055"/>
      <c r="K298" s="1057"/>
      <c r="O298" s="166"/>
    </row>
    <row r="299" spans="1:15" ht="52.5" customHeight="1" thickBot="1">
      <c r="A299" s="336">
        <v>299</v>
      </c>
      <c r="C299" s="1079"/>
      <c r="D299" s="1080"/>
      <c r="E299" s="1080"/>
      <c r="F299" s="1080"/>
      <c r="G299" s="1080"/>
      <c r="H299" s="364" t="s">
        <v>993</v>
      </c>
      <c r="I299" s="365"/>
      <c r="J299" s="364"/>
      <c r="K299" s="366"/>
      <c r="O299" s="166"/>
    </row>
    <row r="300" spans="1:15" ht="14.25" thickBot="1">
      <c r="A300" s="336">
        <v>300</v>
      </c>
      <c r="C300" s="989"/>
      <c r="H300" s="444" t="s">
        <v>994</v>
      </c>
      <c r="I300" s="445" t="str">
        <f>+IF('様式4（全般事項）'!$G$7="承認あり","A","-")</f>
        <v>-</v>
      </c>
      <c r="J300" s="75"/>
      <c r="K300" s="438"/>
      <c r="M300" s="356" t="str">
        <f t="shared" ref="M300:M301" si="52">+IF(I300="A",IF(ISBLANK(J300),"未入力あり",IF(J300="はい","○","×")),"")</f>
        <v/>
      </c>
      <c r="O300" s="166"/>
    </row>
    <row r="301" spans="1:15" ht="14.25" thickBot="1">
      <c r="A301" s="336">
        <v>301</v>
      </c>
      <c r="B301" s="358"/>
      <c r="C301" s="362"/>
      <c r="D301" s="358"/>
      <c r="E301" s="358"/>
      <c r="F301" s="358"/>
      <c r="G301" s="379"/>
      <c r="H301" s="443" t="s">
        <v>995</v>
      </c>
      <c r="I301" s="360" t="str">
        <f>+IF('様式4（全般事項）'!$G$7="承認あり","A","-")</f>
        <v>-</v>
      </c>
      <c r="J301" s="75"/>
      <c r="K301" s="361"/>
      <c r="M301" s="356" t="str">
        <f t="shared" si="52"/>
        <v/>
      </c>
      <c r="O301" s="166"/>
    </row>
    <row r="302" spans="1:15" ht="14.25" thickBot="1">
      <c r="A302" s="336">
        <v>302</v>
      </c>
      <c r="B302" s="1053" t="s">
        <v>593</v>
      </c>
      <c r="C302" s="1054" t="s">
        <v>996</v>
      </c>
      <c r="D302" s="1053"/>
      <c r="E302" s="1053"/>
      <c r="F302" s="1053"/>
      <c r="G302" s="1053"/>
      <c r="H302" s="1055"/>
      <c r="I302" s="1056"/>
      <c r="J302" s="1055"/>
      <c r="K302" s="1057"/>
      <c r="O302" s="166"/>
    </row>
    <row r="303" spans="1:15" ht="14.25" thickBot="1">
      <c r="A303" s="336">
        <v>303</v>
      </c>
      <c r="C303" s="1058" t="s">
        <v>997</v>
      </c>
      <c r="D303" s="1059" t="s">
        <v>998</v>
      </c>
      <c r="E303" s="1060"/>
      <c r="F303" s="1060"/>
      <c r="G303" s="1060"/>
      <c r="H303" s="1061"/>
      <c r="I303" s="1062"/>
      <c r="J303" s="1061"/>
      <c r="K303" s="1063"/>
      <c r="O303" s="166"/>
    </row>
    <row r="304" spans="1:15" ht="14.25" thickBot="1">
      <c r="A304" s="336">
        <v>304</v>
      </c>
      <c r="C304" s="989"/>
      <c r="D304" s="465" t="s">
        <v>853</v>
      </c>
      <c r="E304" s="466"/>
      <c r="F304" s="466"/>
      <c r="G304" s="466"/>
      <c r="H304" s="68" t="s">
        <v>999</v>
      </c>
      <c r="I304" s="382" t="str">
        <f>+IF(OR($H$3="都道府県がん診療連携拠点病院",$H$4="都道府県がん診療連携拠点病院",$H$4="都道府県がん診療連携拠点病院(特例型)"),"A","-")</f>
        <v>-</v>
      </c>
      <c r="J304" s="75"/>
      <c r="K304" s="383"/>
      <c r="M304" s="356" t="str">
        <f t="shared" ref="M304:M306" si="53">+IF(I304="A",IF(ISBLANK(J304),"未入力あり",IF(J304="はい","○","×")),"")</f>
        <v/>
      </c>
      <c r="O304" s="166"/>
    </row>
    <row r="305" spans="1:21" ht="14.25" thickBot="1">
      <c r="A305" s="336">
        <v>305</v>
      </c>
      <c r="C305" s="989"/>
      <c r="D305" s="1089" t="s">
        <v>857</v>
      </c>
      <c r="E305" s="1069"/>
      <c r="F305" s="1069"/>
      <c r="G305" s="1069"/>
      <c r="H305" s="68" t="s">
        <v>1000</v>
      </c>
      <c r="I305" s="382" t="str">
        <f>+IF(OR($H$3="都道府県がん診療連携拠点病院",$H$4="都道府県がん診療連携拠点病院",$H$4="都道府県がん診療連携拠点病院(特例型)"),"A","-")</f>
        <v>-</v>
      </c>
      <c r="J305" s="75"/>
      <c r="K305" s="383"/>
      <c r="M305" s="356" t="str">
        <f t="shared" si="53"/>
        <v/>
      </c>
      <c r="O305" s="166"/>
    </row>
    <row r="306" spans="1:21" ht="41.25" thickBot="1">
      <c r="A306" s="336">
        <v>306</v>
      </c>
      <c r="C306" s="989"/>
      <c r="D306" s="1089" t="s">
        <v>859</v>
      </c>
      <c r="E306" s="1069"/>
      <c r="F306" s="1069"/>
      <c r="G306" s="1091"/>
      <c r="H306" s="1081" t="s">
        <v>1001</v>
      </c>
      <c r="I306" s="1082" t="str">
        <f>+IF(OR($H$3="都道府県がん診療連携拠点病院",$H$4="都道府県がん診療連携拠点病院",$H$4="都道府県がん診療連携拠点病院(特例型)"),"A","-")</f>
        <v>-</v>
      </c>
      <c r="J306" s="75"/>
      <c r="K306" s="1066" t="s">
        <v>1002</v>
      </c>
      <c r="M306" s="356" t="str">
        <f t="shared" si="53"/>
        <v/>
      </c>
      <c r="O306" s="166"/>
    </row>
    <row r="307" spans="1:21">
      <c r="A307" s="336">
        <v>307</v>
      </c>
      <c r="C307" s="989"/>
      <c r="D307" s="1006"/>
      <c r="E307" s="458"/>
      <c r="F307" s="458"/>
      <c r="G307" s="467"/>
      <c r="H307" s="449" t="s">
        <v>1003</v>
      </c>
      <c r="I307" s="494" t="s">
        <v>645</v>
      </c>
      <c r="J307" s="335"/>
      <c r="K307" s="495"/>
      <c r="M307" s="356"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O307" s="166"/>
      <c r="T307" s="375">
        <v>0</v>
      </c>
      <c r="U307" s="376">
        <v>20</v>
      </c>
    </row>
    <row r="308" spans="1:21" ht="14.25" thickBot="1">
      <c r="A308" s="336">
        <v>308</v>
      </c>
      <c r="C308" s="1058" t="s">
        <v>609</v>
      </c>
      <c r="D308" s="1059" t="s">
        <v>1004</v>
      </c>
      <c r="E308" s="1060"/>
      <c r="F308" s="1060"/>
      <c r="G308" s="1060"/>
      <c r="H308" s="1061"/>
      <c r="I308" s="1062"/>
      <c r="J308" s="1061"/>
      <c r="K308" s="1063"/>
      <c r="O308" s="166"/>
    </row>
    <row r="309" spans="1:21" ht="14.25" thickBot="1">
      <c r="A309" s="336">
        <v>309</v>
      </c>
      <c r="C309" s="989"/>
      <c r="D309" s="1089" t="s">
        <v>853</v>
      </c>
      <c r="E309" s="1069"/>
      <c r="F309" s="1069"/>
      <c r="G309" s="1069"/>
      <c r="H309" s="1081" t="s">
        <v>1005</v>
      </c>
      <c r="I309" s="1082" t="str">
        <f>+IF(OR($H$3="都道府県がん診療連携拠点病院",$H$4="都道府県がん診療連携拠点病院",$H$4="都道府県がん診療連携拠点病院(特例型)"),"A","-")</f>
        <v>-</v>
      </c>
      <c r="J309" s="75"/>
      <c r="K309" s="1066"/>
      <c r="M309" s="356" t="str">
        <f t="shared" ref="M309:M311" si="54">+IF(I309="A",IF(ISBLANK(J309),"未入力あり",IF(J309="はい","○","×")),"")</f>
        <v/>
      </c>
      <c r="O309" s="166"/>
    </row>
    <row r="310" spans="1:21" ht="27.75" thickBot="1">
      <c r="A310" s="336">
        <v>310</v>
      </c>
      <c r="C310" s="989"/>
      <c r="D310" s="1089" t="s">
        <v>857</v>
      </c>
      <c r="E310" s="1069"/>
      <c r="F310" s="1069"/>
      <c r="G310" s="1069"/>
      <c r="H310" s="1081" t="s">
        <v>1006</v>
      </c>
      <c r="I310" s="1082" t="str">
        <f>+IF(OR($H$3="都道府県がん診療連携拠点病院",$H$4="都道府県がん診療連携拠点病院",$H$4="都道府県がん診療連携拠点病院(特例型)"),"B","-")</f>
        <v>-</v>
      </c>
      <c r="J310" s="75"/>
      <c r="K310" s="1066" t="s">
        <v>891</v>
      </c>
      <c r="M310" s="356" t="str">
        <f>IF(AND(I310="B",J310=""),"未入力あり",IF(AND(I310="B",J310&lt;&gt;""),"〇",IF(I310="-","")))</f>
        <v/>
      </c>
      <c r="O310" s="166"/>
    </row>
    <row r="311" spans="1:21" ht="14.25" thickBot="1">
      <c r="A311" s="336">
        <v>311</v>
      </c>
      <c r="C311" s="989"/>
      <c r="D311" s="1006"/>
      <c r="E311" s="458"/>
      <c r="F311" s="458"/>
      <c r="G311" s="458"/>
      <c r="H311" s="436" t="s">
        <v>1007</v>
      </c>
      <c r="I311" s="445" t="str">
        <f>+IF(OR($H$3="都道府県がん診療連携拠点病院",$H$4="都道府県がん診療連携拠点病院",$H$4="都道府県がん診療連携拠点病院(特例型)"),"A","-")</f>
        <v>-</v>
      </c>
      <c r="J311" s="75"/>
      <c r="K311" s="438"/>
      <c r="M311" s="356" t="str">
        <f t="shared" si="54"/>
        <v/>
      </c>
      <c r="O311" s="166"/>
    </row>
    <row r="312" spans="1:21" ht="14.25" thickBot="1">
      <c r="A312" s="336">
        <v>312</v>
      </c>
      <c r="C312" s="989"/>
      <c r="D312" s="468"/>
      <c r="E312" s="469"/>
      <c r="F312" s="469"/>
      <c r="G312" s="470"/>
      <c r="H312" s="443" t="s">
        <v>1008</v>
      </c>
      <c r="I312" s="360" t="str">
        <f>+IF(OR($H$3="都道府県がん診療連携拠点病院",$H$4="都道府県がん診療連携拠点病院",$H$4="都道府県がん診療連携拠点病院(特例型)"),"A","-")</f>
        <v>-</v>
      </c>
      <c r="J312" s="335"/>
      <c r="K312" s="361" t="s">
        <v>1009</v>
      </c>
      <c r="M312" s="356" t="str">
        <f>+IF(I312="A",IF(ISBLANK(J312),"未入力あり",IF(J312&gt;=1,"○","×")),"")</f>
        <v/>
      </c>
      <c r="O312" s="166"/>
      <c r="T312" s="375">
        <v>0</v>
      </c>
      <c r="U312" s="376">
        <v>20</v>
      </c>
    </row>
    <row r="313" spans="1:21" ht="27.75" thickBot="1">
      <c r="A313" s="336">
        <v>313</v>
      </c>
      <c r="C313" s="989"/>
      <c r="D313" s="1089" t="s">
        <v>859</v>
      </c>
      <c r="E313" s="1069"/>
      <c r="F313" s="1069"/>
      <c r="G313" s="1069"/>
      <c r="H313" s="1081" t="s">
        <v>1010</v>
      </c>
      <c r="I313" s="1082" t="str">
        <f>+IF(OR($H$3="都道府県がん診療連携拠点病院",$H$4="都道府県がん診療連携拠点病院",$H$4="都道府県がん診療連携拠点病院(特例型)"),"A","-")</f>
        <v>-</v>
      </c>
      <c r="J313" s="75"/>
      <c r="K313" s="1066" t="s">
        <v>891</v>
      </c>
      <c r="M313" s="356" t="str">
        <f t="shared" ref="M313:M315" si="55">+IF(I313="A",IF(ISBLANK(J313),"未入力あり",IF(J313="はい","○","×")),"")</f>
        <v/>
      </c>
      <c r="O313" s="166"/>
    </row>
    <row r="314" spans="1:21" ht="14.25" thickBot="1">
      <c r="A314" s="336">
        <v>314</v>
      </c>
      <c r="C314" s="989"/>
      <c r="D314" s="468"/>
      <c r="E314" s="469"/>
      <c r="F314" s="469"/>
      <c r="G314" s="469"/>
      <c r="H314" s="359" t="s">
        <v>1011</v>
      </c>
      <c r="I314" s="360" t="str">
        <f>+IF(OR($H$3="都道府県がん診療連携拠点病院",$H$4="都道府県がん診療連携拠点病院",$H$4="都道府県がん診療連携拠点病院(特例型)"),"A","-")</f>
        <v>-</v>
      </c>
      <c r="J314" s="75"/>
      <c r="K314" s="361"/>
      <c r="M314" s="356" t="str">
        <f t="shared" si="55"/>
        <v/>
      </c>
      <c r="O314" s="166"/>
    </row>
    <row r="315" spans="1:21" ht="14.25" thickBot="1">
      <c r="A315" s="336">
        <v>315</v>
      </c>
      <c r="C315" s="362"/>
      <c r="D315" s="468" t="s">
        <v>868</v>
      </c>
      <c r="E315" s="469"/>
      <c r="F315" s="469"/>
      <c r="G315" s="469"/>
      <c r="H315" s="402" t="s">
        <v>1012</v>
      </c>
      <c r="I315" s="403" t="str">
        <f>+IF(OR($H$3="都道府県がん診療連携拠点病院",$H$4="都道府県がん診療連携拠点病院",$H$4="都道府県がん診療連携拠点病院(特例型)"),"A","-")</f>
        <v>-</v>
      </c>
      <c r="J315" s="75"/>
      <c r="K315" s="392"/>
      <c r="M315" s="356" t="str">
        <f t="shared" si="55"/>
        <v/>
      </c>
      <c r="O315" s="166"/>
    </row>
    <row r="316" spans="1:21" ht="14.25" thickBot="1">
      <c r="A316" s="336">
        <v>316</v>
      </c>
      <c r="C316" s="1058" t="s">
        <v>818</v>
      </c>
      <c r="D316" s="1059" t="s">
        <v>1013</v>
      </c>
      <c r="E316" s="1060"/>
      <c r="F316" s="1060"/>
      <c r="G316" s="1060"/>
      <c r="H316" s="1061"/>
      <c r="I316" s="1062"/>
      <c r="J316" s="1061"/>
      <c r="K316" s="1063"/>
      <c r="O316" s="166"/>
    </row>
    <row r="317" spans="1:21" ht="41.25" thickBot="1">
      <c r="A317" s="336">
        <v>317</v>
      </c>
      <c r="C317" s="989"/>
      <c r="D317" s="1089" t="s">
        <v>853</v>
      </c>
      <c r="E317" s="1069"/>
      <c r="F317" s="1069"/>
      <c r="G317" s="1069"/>
      <c r="H317" s="1081" t="s">
        <v>1014</v>
      </c>
      <c r="I317" s="1082" t="str">
        <f t="shared" ref="I317:I331" si="56">+IF(OR($H$3="都道府県がん診療連携拠点病院",$H$4="都道府県がん診療連携拠点病院",$H$4="都道府県がん診療連携拠点病院(特例型)"),"A","-")</f>
        <v>-</v>
      </c>
      <c r="J317" s="75"/>
      <c r="K317" s="1066" t="s">
        <v>1015</v>
      </c>
      <c r="M317" s="356" t="str">
        <f t="shared" ref="M317:M338" si="57">+IF(I317="A",IF(ISBLANK(J317),"未入力あり",IF(J317="はい","○","×")),"")</f>
        <v/>
      </c>
      <c r="O317" s="166"/>
    </row>
    <row r="318" spans="1:21" ht="14.25" thickBot="1">
      <c r="A318" s="336">
        <v>318</v>
      </c>
      <c r="C318" s="989"/>
      <c r="D318" s="989"/>
      <c r="E318" s="1073" t="s">
        <v>802</v>
      </c>
      <c r="F318" s="1075"/>
      <c r="G318" s="1075"/>
      <c r="H318" s="1081" t="s">
        <v>1016</v>
      </c>
      <c r="I318" s="1082" t="str">
        <f t="shared" si="56"/>
        <v>-</v>
      </c>
      <c r="J318" s="75"/>
      <c r="K318" s="1066"/>
      <c r="M318" s="356" t="str">
        <f t="shared" si="57"/>
        <v/>
      </c>
      <c r="O318" s="166"/>
    </row>
    <row r="319" spans="1:21" ht="14.25" thickBot="1">
      <c r="A319" s="336">
        <v>319</v>
      </c>
      <c r="C319" s="989"/>
      <c r="D319" s="989"/>
      <c r="E319" s="451" t="s">
        <v>805</v>
      </c>
      <c r="F319" s="452"/>
      <c r="G319" s="452"/>
      <c r="H319" s="68" t="s">
        <v>1017</v>
      </c>
      <c r="I319" s="382" t="str">
        <f t="shared" si="56"/>
        <v>-</v>
      </c>
      <c r="J319" s="75"/>
      <c r="K319" s="383"/>
      <c r="M319" s="356" t="str">
        <f t="shared" si="57"/>
        <v/>
      </c>
      <c r="O319" s="166"/>
    </row>
    <row r="320" spans="1:21" ht="27.75" thickBot="1">
      <c r="A320" s="336">
        <v>320</v>
      </c>
      <c r="C320" s="989"/>
      <c r="D320" s="989"/>
      <c r="E320" s="990" t="s">
        <v>808</v>
      </c>
      <c r="F320" s="450"/>
      <c r="G320" s="450"/>
      <c r="H320" s="429" t="s">
        <v>1018</v>
      </c>
      <c r="I320" s="430" t="str">
        <f t="shared" si="56"/>
        <v>-</v>
      </c>
      <c r="J320" s="75"/>
      <c r="K320" s="401"/>
      <c r="M320" s="356" t="str">
        <f t="shared" si="57"/>
        <v/>
      </c>
      <c r="O320" s="166"/>
    </row>
    <row r="321" spans="1:15" ht="27.75" thickBot="1">
      <c r="A321" s="336">
        <v>321</v>
      </c>
      <c r="C321" s="989"/>
      <c r="D321" s="989"/>
      <c r="E321" s="451" t="s">
        <v>810</v>
      </c>
      <c r="F321" s="452"/>
      <c r="G321" s="452"/>
      <c r="H321" s="68" t="s">
        <v>1019</v>
      </c>
      <c r="I321" s="382" t="str">
        <f t="shared" si="56"/>
        <v>-</v>
      </c>
      <c r="J321" s="75"/>
      <c r="K321" s="383"/>
      <c r="M321" s="356" t="str">
        <f t="shared" si="57"/>
        <v/>
      </c>
      <c r="O321" s="166"/>
    </row>
    <row r="322" spans="1:15" ht="27.75" thickBot="1">
      <c r="A322" s="336">
        <v>322</v>
      </c>
      <c r="C322" s="989"/>
      <c r="D322" s="989"/>
      <c r="E322" s="990" t="s">
        <v>911</v>
      </c>
      <c r="F322" s="450"/>
      <c r="G322" s="450"/>
      <c r="H322" s="429" t="s">
        <v>1020</v>
      </c>
      <c r="I322" s="430" t="str">
        <f t="shared" si="56"/>
        <v>-</v>
      </c>
      <c r="J322" s="75"/>
      <c r="K322" s="401"/>
      <c r="M322" s="356" t="str">
        <f t="shared" si="57"/>
        <v/>
      </c>
      <c r="O322" s="166"/>
    </row>
    <row r="323" spans="1:15" ht="27.75" thickBot="1">
      <c r="A323" s="336">
        <v>323</v>
      </c>
      <c r="C323" s="989"/>
      <c r="D323" s="989"/>
      <c r="E323" s="451" t="s">
        <v>914</v>
      </c>
      <c r="F323" s="452"/>
      <c r="G323" s="452"/>
      <c r="H323" s="68" t="s">
        <v>1021</v>
      </c>
      <c r="I323" s="382" t="str">
        <f t="shared" si="56"/>
        <v>-</v>
      </c>
      <c r="J323" s="75"/>
      <c r="K323" s="383"/>
      <c r="M323" s="356" t="str">
        <f t="shared" si="57"/>
        <v/>
      </c>
      <c r="O323" s="166"/>
    </row>
    <row r="324" spans="1:15" ht="27.75" thickBot="1">
      <c r="A324" s="336">
        <v>324</v>
      </c>
      <c r="C324" s="989"/>
      <c r="D324" s="989"/>
      <c r="E324" s="990" t="s">
        <v>916</v>
      </c>
      <c r="F324" s="450"/>
      <c r="G324" s="450"/>
      <c r="H324" s="429" t="s">
        <v>1022</v>
      </c>
      <c r="I324" s="430" t="str">
        <f t="shared" si="56"/>
        <v>-</v>
      </c>
      <c r="J324" s="75"/>
      <c r="K324" s="401"/>
      <c r="M324" s="356" t="str">
        <f t="shared" si="57"/>
        <v/>
      </c>
      <c r="O324" s="166"/>
    </row>
    <row r="325" spans="1:15" ht="14.25" thickBot="1">
      <c r="A325" s="336">
        <v>325</v>
      </c>
      <c r="C325" s="989"/>
      <c r="D325" s="989"/>
      <c r="E325" s="990"/>
      <c r="F325" s="1079" t="s">
        <v>614</v>
      </c>
      <c r="G325" s="1080"/>
      <c r="H325" s="1081" t="s">
        <v>1023</v>
      </c>
      <c r="I325" s="1082" t="str">
        <f t="shared" si="56"/>
        <v>-</v>
      </c>
      <c r="J325" s="75"/>
      <c r="K325" s="1066"/>
      <c r="M325" s="356" t="str">
        <f t="shared" si="57"/>
        <v/>
      </c>
      <c r="O325" s="166"/>
    </row>
    <row r="326" spans="1:15" ht="14.25" thickBot="1">
      <c r="A326" s="336">
        <v>326</v>
      </c>
      <c r="C326" s="989"/>
      <c r="D326" s="989"/>
      <c r="E326" s="990"/>
      <c r="F326" s="989"/>
      <c r="H326" s="359" t="s">
        <v>1024</v>
      </c>
      <c r="I326" s="360" t="str">
        <f t="shared" si="56"/>
        <v>-</v>
      </c>
      <c r="J326" s="75"/>
      <c r="K326" s="361"/>
      <c r="M326" s="356" t="str">
        <f t="shared" si="57"/>
        <v/>
      </c>
      <c r="O326" s="166"/>
    </row>
    <row r="327" spans="1:15" ht="27.75" thickBot="1">
      <c r="A327" s="336">
        <v>327</v>
      </c>
      <c r="C327" s="989"/>
      <c r="D327" s="989"/>
      <c r="E327" s="990"/>
      <c r="F327" s="1079" t="s">
        <v>619</v>
      </c>
      <c r="G327" s="1080"/>
      <c r="H327" s="1081" t="s">
        <v>1025</v>
      </c>
      <c r="I327" s="1082" t="str">
        <f t="shared" si="56"/>
        <v>-</v>
      </c>
      <c r="J327" s="75"/>
      <c r="K327" s="1066"/>
      <c r="M327" s="356" t="str">
        <f t="shared" si="57"/>
        <v/>
      </c>
      <c r="O327" s="166"/>
    </row>
    <row r="328" spans="1:15" ht="14.25" thickBot="1">
      <c r="A328" s="336">
        <v>328</v>
      </c>
      <c r="C328" s="989"/>
      <c r="D328" s="989"/>
      <c r="E328" s="990"/>
      <c r="F328" s="362"/>
      <c r="G328" s="358"/>
      <c r="H328" s="359" t="s">
        <v>1026</v>
      </c>
      <c r="I328" s="360" t="str">
        <f t="shared" si="56"/>
        <v>-</v>
      </c>
      <c r="J328" s="75"/>
      <c r="K328" s="361"/>
      <c r="M328" s="356" t="str">
        <f t="shared" si="57"/>
        <v/>
      </c>
      <c r="O328" s="166"/>
    </row>
    <row r="329" spans="1:15" ht="27.75" thickBot="1">
      <c r="A329" s="336">
        <v>329</v>
      </c>
      <c r="C329" s="989"/>
      <c r="D329" s="989"/>
      <c r="E329" s="1073" t="s">
        <v>918</v>
      </c>
      <c r="F329" s="1075"/>
      <c r="G329" s="1075"/>
      <c r="H329" s="1081" t="s">
        <v>1027</v>
      </c>
      <c r="I329" s="1082" t="str">
        <f t="shared" si="56"/>
        <v>-</v>
      </c>
      <c r="J329" s="75"/>
      <c r="K329" s="1066"/>
      <c r="M329" s="356" t="str">
        <f t="shared" si="57"/>
        <v/>
      </c>
      <c r="O329" s="166"/>
    </row>
    <row r="330" spans="1:15" ht="14.25" thickBot="1">
      <c r="A330" s="336">
        <v>330</v>
      </c>
      <c r="C330" s="989"/>
      <c r="D330" s="989"/>
      <c r="E330" s="990"/>
      <c r="F330" s="1079" t="s">
        <v>614</v>
      </c>
      <c r="G330" s="1080"/>
      <c r="H330" s="1081" t="s">
        <v>1028</v>
      </c>
      <c r="I330" s="1082" t="str">
        <f t="shared" si="56"/>
        <v>-</v>
      </c>
      <c r="J330" s="75"/>
      <c r="K330" s="1066"/>
      <c r="M330" s="356" t="str">
        <f t="shared" si="57"/>
        <v/>
      </c>
      <c r="O330" s="166"/>
    </row>
    <row r="331" spans="1:15" ht="14.25" thickBot="1">
      <c r="A331" s="336">
        <v>331</v>
      </c>
      <c r="C331" s="989"/>
      <c r="D331" s="989"/>
      <c r="E331" s="990"/>
      <c r="F331" s="989"/>
      <c r="H331" s="408" t="s">
        <v>1029</v>
      </c>
      <c r="I331" s="409" t="str">
        <f t="shared" si="56"/>
        <v>-</v>
      </c>
      <c r="J331" s="75"/>
      <c r="K331" s="410"/>
      <c r="M331" s="356" t="str">
        <f t="shared" si="57"/>
        <v/>
      </c>
      <c r="O331" s="166"/>
    </row>
    <row r="332" spans="1:15" ht="14.25" thickBot="1">
      <c r="A332" s="336">
        <v>332</v>
      </c>
      <c r="C332" s="989"/>
      <c r="D332" s="989"/>
      <c r="E332" s="990"/>
      <c r="F332" s="989"/>
      <c r="H332" s="359" t="s">
        <v>1030</v>
      </c>
      <c r="I332" s="360" t="str">
        <f>+IF(OR($H$3="都道府県がん診療連携拠点病院",$H$4="都道府県がん診療連携拠点病院",$H$4="都道府県がん診療連携拠点病院(特例型)"),"C","-")</f>
        <v>-</v>
      </c>
      <c r="J332" s="75"/>
      <c r="K332" s="361"/>
      <c r="M332" s="356" t="str">
        <f>IF(AND(I332="C",J332=""),"未入力あり",IF(AND(I332="C",J332&lt;&gt;""),"〇",IF(I332="-","")))</f>
        <v/>
      </c>
      <c r="O332" s="166"/>
    </row>
    <row r="333" spans="1:15" ht="14.25" thickBot="1">
      <c r="A333" s="336">
        <v>333</v>
      </c>
      <c r="C333" s="989"/>
      <c r="D333" s="989"/>
      <c r="E333" s="990"/>
      <c r="F333" s="1079" t="s">
        <v>619</v>
      </c>
      <c r="G333" s="1080"/>
      <c r="H333" s="1081" t="s">
        <v>1031</v>
      </c>
      <c r="I333" s="1082" t="str">
        <f>+IF(OR($H$3="都道府県がん診療連携拠点病院",$H$4="都道府県がん診療連携拠点病院",$H$4="都道府県がん診療連携拠点病院(特例型)"),"A","-")</f>
        <v>-</v>
      </c>
      <c r="J333" s="75"/>
      <c r="K333" s="1066"/>
      <c r="M333" s="356" t="str">
        <f t="shared" si="57"/>
        <v/>
      </c>
      <c r="O333" s="166"/>
    </row>
    <row r="334" spans="1:15" ht="27.75" thickBot="1">
      <c r="A334" s="336">
        <v>334</v>
      </c>
      <c r="C334" s="989"/>
      <c r="D334" s="989"/>
      <c r="E334" s="990"/>
      <c r="F334" s="362"/>
      <c r="G334" s="358"/>
      <c r="H334" s="359" t="s">
        <v>1032</v>
      </c>
      <c r="I334" s="360" t="str">
        <f>+IF(OR($H$3="都道府県がん診療連携拠点病院",$H$4="都道府県がん診療連携拠点病院",$H$4="都道府県がん診療連携拠点病院(特例型)"),"A","-")</f>
        <v>-</v>
      </c>
      <c r="J334" s="75"/>
      <c r="K334" s="361"/>
      <c r="M334" s="356" t="str">
        <f t="shared" si="57"/>
        <v/>
      </c>
      <c r="O334" s="166"/>
    </row>
    <row r="335" spans="1:15" ht="14.25" thickBot="1">
      <c r="A335" s="336">
        <v>335</v>
      </c>
      <c r="C335" s="989"/>
      <c r="D335" s="989"/>
      <c r="E335" s="990"/>
      <c r="F335" s="989" t="s">
        <v>627</v>
      </c>
      <c r="H335" s="429" t="s">
        <v>1033</v>
      </c>
      <c r="I335" s="430" t="str">
        <f>+IF(OR($H$3="都道府県がん診療連携拠点病院",$H$4="都道府県がん診療連携拠点病院",$H$4="都道府県がん診療連携拠点病院(特例型)"),"A","-")</f>
        <v>-</v>
      </c>
      <c r="J335" s="75"/>
      <c r="K335" s="401"/>
      <c r="M335" s="356" t="str">
        <f t="shared" si="57"/>
        <v/>
      </c>
      <c r="O335" s="166"/>
    </row>
    <row r="336" spans="1:15" ht="27.75" thickBot="1">
      <c r="A336" s="336">
        <v>336</v>
      </c>
      <c r="C336" s="989"/>
      <c r="D336" s="989"/>
      <c r="E336" s="990"/>
      <c r="F336" s="989"/>
      <c r="H336" s="359" t="s">
        <v>1034</v>
      </c>
      <c r="I336" s="360" t="str">
        <f>+IF(OR($H$3="都道府県がん診療連携拠点病院",$H$4="都道府県がん診療連携拠点病院",$H$4="都道府県がん診療連携拠点病院(特例型)"),"C","-")</f>
        <v>-</v>
      </c>
      <c r="J336" s="75"/>
      <c r="K336" s="361"/>
      <c r="M336" s="356" t="str">
        <f>IF(AND(I336="C",J336=""),"未入力あり",IF(AND(I336="C",J336&lt;&gt;""),"〇",IF(I336="-","")))</f>
        <v/>
      </c>
      <c r="O336" s="166"/>
    </row>
    <row r="337" spans="1:15" ht="41.25" thickBot="1">
      <c r="A337" s="336">
        <v>337</v>
      </c>
      <c r="C337" s="989"/>
      <c r="D337" s="989"/>
      <c r="E337" s="990"/>
      <c r="F337" s="380" t="s">
        <v>639</v>
      </c>
      <c r="G337" s="381"/>
      <c r="H337" s="68" t="s">
        <v>1035</v>
      </c>
      <c r="I337" s="382" t="str">
        <f>+IF(OR($H$3="都道府県がん診療連携拠点病院",$H$4="都道府県がん診療連携拠点病院",$H$4="都道府県がん診療連携拠点病院(特例型)"),"A","-")</f>
        <v>-</v>
      </c>
      <c r="J337" s="75"/>
      <c r="K337" s="383"/>
      <c r="M337" s="356" t="str">
        <f t="shared" si="57"/>
        <v/>
      </c>
      <c r="O337" s="166"/>
    </row>
    <row r="338" spans="1:15" ht="27.75" thickBot="1">
      <c r="A338" s="336">
        <v>338</v>
      </c>
      <c r="B338" s="358"/>
      <c r="C338" s="362"/>
      <c r="D338" s="362"/>
      <c r="E338" s="456"/>
      <c r="F338" s="362" t="s">
        <v>642</v>
      </c>
      <c r="G338" s="358"/>
      <c r="H338" s="402" t="s">
        <v>1036</v>
      </c>
      <c r="I338" s="403" t="str">
        <f>+IF(OR($H$3="都道府県がん診療連携拠点病院",$H$4="都道府県がん診療連携拠点病院",$H$4="都道府県がん診療連携拠点病院(特例型)"),"A","-")</f>
        <v>-</v>
      </c>
      <c r="J338" s="75"/>
      <c r="K338" s="392"/>
      <c r="M338" s="356" t="str">
        <f t="shared" si="57"/>
        <v/>
      </c>
      <c r="O338" s="166"/>
    </row>
    <row r="339" spans="1:15" ht="14.25" thickBot="1">
      <c r="A339" s="336">
        <v>339</v>
      </c>
      <c r="B339" s="1053" t="s">
        <v>594</v>
      </c>
      <c r="C339" s="1054" t="s">
        <v>1037</v>
      </c>
      <c r="D339" s="1053"/>
      <c r="E339" s="1053"/>
      <c r="F339" s="1053"/>
      <c r="G339" s="1053"/>
      <c r="H339" s="1055"/>
      <c r="I339" s="1056"/>
      <c r="J339" s="1055"/>
      <c r="K339" s="1057"/>
      <c r="O339" s="166"/>
    </row>
    <row r="340" spans="1:15" ht="14.25" thickBot="1">
      <c r="A340" s="336">
        <v>340</v>
      </c>
      <c r="C340" s="1058" t="s">
        <v>997</v>
      </c>
      <c r="D340" s="1060"/>
      <c r="E340" s="1060"/>
      <c r="F340" s="1060"/>
      <c r="G340" s="1060"/>
      <c r="H340" s="1081" t="s">
        <v>1038</v>
      </c>
      <c r="I340" s="1082" t="str">
        <f t="shared" ref="I340:I346" si="58">+IF(OR($H$3="特定領域がん診療連携拠点病院",$H$4="特定領域がん診療連携拠点病院",$H$4="特定領域がん診療連携拠点病院(特例型)"),"A","-")</f>
        <v>-</v>
      </c>
      <c r="J340" s="75"/>
      <c r="K340" s="1066" t="s">
        <v>1039</v>
      </c>
      <c r="M340" s="356" t="str">
        <f t="shared" ref="M340" si="59">+IF(I340="A",IF(ISBLANK(J340),"未入力あり",IF(J340="はい","○","×")),"")</f>
        <v/>
      </c>
      <c r="O340" s="166"/>
    </row>
    <row r="341" spans="1:15" ht="45" customHeight="1" thickBot="1">
      <c r="A341" s="336">
        <v>341</v>
      </c>
      <c r="C341" s="1007"/>
      <c r="D341" s="496"/>
      <c r="E341" s="496"/>
      <c r="F341" s="496"/>
      <c r="G341" s="496"/>
      <c r="H341" s="462" t="s">
        <v>1040</v>
      </c>
      <c r="I341" s="463" t="str">
        <f t="shared" si="58"/>
        <v>-</v>
      </c>
      <c r="J341" s="111"/>
      <c r="K341" s="420"/>
      <c r="M341" s="356" t="str">
        <f>+IF(I341="A",IF(ISBLANK(J341),"未入力あり",IF(ISBLANK(J341),"×","○")),"")</f>
        <v/>
      </c>
      <c r="O341" s="166"/>
    </row>
    <row r="342" spans="1:15" ht="14.25" thickBot="1">
      <c r="A342" s="336">
        <v>342</v>
      </c>
      <c r="C342" s="1008"/>
      <c r="D342" s="496"/>
      <c r="E342" s="496"/>
      <c r="F342" s="496"/>
      <c r="G342" s="496"/>
      <c r="H342" s="408" t="s">
        <v>1041</v>
      </c>
      <c r="I342" s="409" t="str">
        <f t="shared" si="58"/>
        <v>-</v>
      </c>
      <c r="J342" s="75"/>
      <c r="K342" s="410"/>
      <c r="M342" s="356" t="str">
        <f t="shared" ref="M342:M346" si="60">+IF(I342="A",IF(ISBLANK(J342),"未入力あり",IF(J342="はい","○","×")),"")</f>
        <v/>
      </c>
      <c r="O342" s="166"/>
    </row>
    <row r="343" spans="1:15" ht="14.25" thickBot="1">
      <c r="A343" s="336">
        <v>343</v>
      </c>
      <c r="C343" s="497"/>
      <c r="D343" s="498"/>
      <c r="E343" s="498"/>
      <c r="F343" s="498"/>
      <c r="G343" s="498"/>
      <c r="H343" s="402" t="s">
        <v>1042</v>
      </c>
      <c r="I343" s="403" t="str">
        <f t="shared" si="58"/>
        <v>-</v>
      </c>
      <c r="J343" s="75"/>
      <c r="K343" s="392"/>
      <c r="M343" s="356" t="str">
        <f t="shared" si="60"/>
        <v/>
      </c>
      <c r="O343" s="166"/>
    </row>
    <row r="344" spans="1:15" ht="27.75" thickBot="1">
      <c r="A344" s="336">
        <v>344</v>
      </c>
      <c r="C344" s="1058" t="s">
        <v>609</v>
      </c>
      <c r="D344" s="1060"/>
      <c r="E344" s="1060"/>
      <c r="F344" s="1060"/>
      <c r="G344" s="1060"/>
      <c r="H344" s="1081" t="s">
        <v>1043</v>
      </c>
      <c r="I344" s="1082" t="str">
        <f t="shared" si="58"/>
        <v>-</v>
      </c>
      <c r="J344" s="75"/>
      <c r="K344" s="1066" t="s">
        <v>1044</v>
      </c>
      <c r="M344" s="356" t="str">
        <f t="shared" si="60"/>
        <v/>
      </c>
      <c r="O344" s="166"/>
    </row>
    <row r="345" spans="1:15" ht="14.25" thickBot="1">
      <c r="A345" s="336">
        <v>345</v>
      </c>
      <c r="C345" s="499" t="s">
        <v>818</v>
      </c>
      <c r="D345" s="500"/>
      <c r="E345" s="500"/>
      <c r="F345" s="500"/>
      <c r="G345" s="500"/>
      <c r="H345" s="68" t="s">
        <v>1045</v>
      </c>
      <c r="I345" s="382" t="str">
        <f t="shared" si="58"/>
        <v>-</v>
      </c>
      <c r="J345" s="75"/>
      <c r="K345" s="383" t="s">
        <v>1046</v>
      </c>
      <c r="M345" s="356" t="str">
        <f t="shared" si="60"/>
        <v/>
      </c>
      <c r="O345" s="166"/>
    </row>
    <row r="346" spans="1:15" ht="27.75" thickBot="1">
      <c r="A346" s="336">
        <v>346</v>
      </c>
      <c r="B346" s="358"/>
      <c r="C346" s="499" t="s">
        <v>851</v>
      </c>
      <c r="D346" s="500"/>
      <c r="E346" s="500"/>
      <c r="F346" s="500"/>
      <c r="G346" s="500"/>
      <c r="H346" s="68" t="s">
        <v>1047</v>
      </c>
      <c r="I346" s="382" t="str">
        <f t="shared" si="58"/>
        <v>-</v>
      </c>
      <c r="J346" s="75"/>
      <c r="K346" s="383" t="s">
        <v>1048</v>
      </c>
      <c r="M346" s="356" t="str">
        <f t="shared" si="60"/>
        <v/>
      </c>
      <c r="O346" s="166"/>
    </row>
    <row r="347" spans="1:15" ht="14.25" thickBot="1">
      <c r="A347" s="336">
        <v>347</v>
      </c>
      <c r="B347" s="1053" t="s">
        <v>595</v>
      </c>
      <c r="C347" s="1054" t="s">
        <v>1049</v>
      </c>
      <c r="D347" s="1053"/>
      <c r="E347" s="1053"/>
      <c r="F347" s="1053"/>
      <c r="G347" s="1053"/>
      <c r="H347" s="1055"/>
      <c r="I347" s="1056"/>
      <c r="J347" s="1055"/>
      <c r="K347" s="1057"/>
      <c r="O347" s="166"/>
    </row>
    <row r="348" spans="1:15" ht="14.25" thickBot="1">
      <c r="A348" s="336">
        <v>348</v>
      </c>
      <c r="C348" s="1058" t="s">
        <v>997</v>
      </c>
      <c r="D348" s="1059" t="s">
        <v>1050</v>
      </c>
      <c r="E348" s="1060"/>
      <c r="F348" s="1060"/>
      <c r="G348" s="1060"/>
      <c r="H348" s="1061"/>
      <c r="I348" s="1062"/>
      <c r="J348" s="1061"/>
      <c r="K348" s="1063"/>
      <c r="O348" s="166"/>
    </row>
    <row r="349" spans="1:15" ht="14.25" thickBot="1">
      <c r="A349" s="336">
        <v>349</v>
      </c>
      <c r="C349" s="989"/>
      <c r="H349" s="1081" t="s">
        <v>1051</v>
      </c>
      <c r="I349" s="1082" t="str">
        <f>+IF(OR($H$3="地域がん診療病院",$H$4="地域がん診療病院",$H$4="地域がん診療病院(特例型)"),"A","-")</f>
        <v>-</v>
      </c>
      <c r="J349" s="75"/>
      <c r="K349" s="1066"/>
      <c r="M349" s="356" t="str">
        <f t="shared" ref="M349:M350" si="61">+IF(I349="A",IF(ISBLANK(J349),"未入力あり",IF(J349="はい","○","×")),"")</f>
        <v/>
      </c>
      <c r="O349" s="166"/>
    </row>
    <row r="350" spans="1:15" ht="27.75" thickBot="1">
      <c r="A350" s="336">
        <v>350</v>
      </c>
      <c r="C350" s="362"/>
      <c r="D350" s="358"/>
      <c r="E350" s="358"/>
      <c r="F350" s="358"/>
      <c r="G350" s="358"/>
      <c r="H350" s="359" t="s">
        <v>1052</v>
      </c>
      <c r="I350" s="360" t="str">
        <f>+IF(OR($H$3="地域がん診療病院",$H$4="地域がん診療病院",$H$4="地域がん診療病院(特例型)"),"A","-")</f>
        <v>-</v>
      </c>
      <c r="J350" s="75"/>
      <c r="K350" s="361"/>
      <c r="M350" s="356" t="str">
        <f t="shared" si="61"/>
        <v/>
      </c>
      <c r="O350" s="166"/>
    </row>
    <row r="351" spans="1:15" ht="14.25" thickBot="1">
      <c r="A351" s="336">
        <v>351</v>
      </c>
      <c r="C351" s="1058" t="s">
        <v>609</v>
      </c>
      <c r="D351" s="1059" t="s">
        <v>610</v>
      </c>
      <c r="E351" s="1060"/>
      <c r="F351" s="1060"/>
      <c r="G351" s="1060"/>
      <c r="H351" s="1061"/>
      <c r="I351" s="1062"/>
      <c r="J351" s="1061"/>
      <c r="K351" s="1063"/>
      <c r="O351" s="166"/>
    </row>
    <row r="352" spans="1:15" ht="14.25" thickBot="1">
      <c r="A352" s="336">
        <v>352</v>
      </c>
      <c r="C352" s="989"/>
      <c r="D352" s="1067" t="s">
        <v>611</v>
      </c>
      <c r="E352" s="1068" t="s">
        <v>612</v>
      </c>
      <c r="F352" s="1069"/>
      <c r="G352" s="1069"/>
      <c r="H352" s="1070"/>
      <c r="I352" s="1071"/>
      <c r="J352" s="1070"/>
      <c r="K352" s="1072"/>
      <c r="O352" s="166"/>
    </row>
    <row r="353" spans="1:21" ht="14.25" thickBot="1">
      <c r="A353" s="336">
        <v>353</v>
      </c>
      <c r="C353" s="989"/>
      <c r="D353" s="989"/>
      <c r="E353" s="1073" t="s">
        <v>480</v>
      </c>
      <c r="F353" s="1074" t="s">
        <v>1053</v>
      </c>
      <c r="G353" s="1075"/>
      <c r="H353" s="1076"/>
      <c r="I353" s="1077"/>
      <c r="J353" s="1076"/>
      <c r="K353" s="1078"/>
      <c r="O353" s="166"/>
    </row>
    <row r="354" spans="1:21" ht="27.75" thickBot="1">
      <c r="A354" s="336">
        <v>354</v>
      </c>
      <c r="C354" s="989"/>
      <c r="D354" s="989"/>
      <c r="E354" s="989"/>
      <c r="F354" s="1079" t="s">
        <v>614</v>
      </c>
      <c r="G354" s="1080"/>
      <c r="H354" s="68" t="s">
        <v>1054</v>
      </c>
      <c r="I354" s="382" t="str">
        <f t="shared" ref="I354:I370" si="62">+IF(OR($H$3="地域がん診療病院",$H$4="地域がん診療病院",$H$4="地域がん診療病院(特例型)"),"A","-")</f>
        <v>-</v>
      </c>
      <c r="J354" s="75"/>
      <c r="K354" s="383" t="s">
        <v>1055</v>
      </c>
      <c r="M354" s="356" t="str">
        <f t="shared" ref="M354:M364" si="63">+IF(I354="A",IF(ISBLANK(J354),"未入力あり",IF(J354="はい","○","×")),"")</f>
        <v/>
      </c>
      <c r="O354" s="166"/>
    </row>
    <row r="355" spans="1:21" ht="14.25" thickBot="1">
      <c r="A355" s="336">
        <v>355</v>
      </c>
      <c r="C355" s="989"/>
      <c r="D355" s="989"/>
      <c r="E355" s="989"/>
      <c r="F355" s="1079" t="s">
        <v>732</v>
      </c>
      <c r="G355" s="1080"/>
      <c r="H355" s="68" t="s">
        <v>1056</v>
      </c>
      <c r="I355" s="382" t="str">
        <f t="shared" si="62"/>
        <v>-</v>
      </c>
      <c r="J355" s="75"/>
      <c r="K355" s="383"/>
      <c r="M355" s="356" t="str">
        <f t="shared" si="63"/>
        <v/>
      </c>
      <c r="O355" s="166"/>
    </row>
    <row r="356" spans="1:21" ht="14.25" thickBot="1">
      <c r="A356" s="336">
        <v>356</v>
      </c>
      <c r="C356" s="989"/>
      <c r="D356" s="989"/>
      <c r="E356" s="989"/>
      <c r="F356" s="1079" t="s">
        <v>734</v>
      </c>
      <c r="G356" s="1080"/>
      <c r="H356" s="1081" t="s">
        <v>1057</v>
      </c>
      <c r="I356" s="1082" t="str">
        <f t="shared" si="62"/>
        <v>-</v>
      </c>
      <c r="J356" s="75"/>
      <c r="K356" s="1066"/>
      <c r="M356" s="356" t="str">
        <f t="shared" si="63"/>
        <v/>
      </c>
      <c r="O356" s="166"/>
    </row>
    <row r="357" spans="1:21" ht="14.25" thickBot="1">
      <c r="A357" s="336">
        <v>357</v>
      </c>
      <c r="C357" s="989"/>
      <c r="D357" s="989"/>
      <c r="E357" s="989"/>
      <c r="F357" s="989"/>
      <c r="G357" s="367" t="s">
        <v>1058</v>
      </c>
      <c r="H357" s="368" t="s">
        <v>622</v>
      </c>
      <c r="I357" s="369" t="str">
        <f t="shared" si="62"/>
        <v>-</v>
      </c>
      <c r="J357" s="75"/>
      <c r="M357" s="356" t="str">
        <f t="shared" si="63"/>
        <v/>
      </c>
      <c r="O357" s="166"/>
    </row>
    <row r="358" spans="1:21" ht="14.25" thickBot="1">
      <c r="A358" s="336">
        <v>358</v>
      </c>
      <c r="C358" s="989"/>
      <c r="D358" s="989"/>
      <c r="E358" s="989"/>
      <c r="F358" s="989"/>
      <c r="G358" s="367" t="s">
        <v>1059</v>
      </c>
      <c r="H358" s="368" t="s">
        <v>1060</v>
      </c>
      <c r="I358" s="369" t="str">
        <f t="shared" si="62"/>
        <v>-</v>
      </c>
      <c r="J358" s="75"/>
      <c r="K358" s="370"/>
      <c r="M358" s="356" t="str">
        <f t="shared" si="63"/>
        <v/>
      </c>
      <c r="O358" s="166"/>
    </row>
    <row r="359" spans="1:21" ht="14.25" thickBot="1">
      <c r="A359" s="336">
        <v>359</v>
      </c>
      <c r="C359" s="989"/>
      <c r="D359" s="989"/>
      <c r="E359" s="989"/>
      <c r="F359" s="989"/>
      <c r="G359" s="371" t="s">
        <v>1061</v>
      </c>
      <c r="H359" s="372" t="s">
        <v>1062</v>
      </c>
      <c r="I359" s="373" t="str">
        <f t="shared" si="62"/>
        <v>-</v>
      </c>
      <c r="J359" s="75"/>
      <c r="K359" s="374"/>
      <c r="M359" s="356" t="str">
        <f t="shared" si="63"/>
        <v/>
      </c>
      <c r="O359" s="166"/>
    </row>
    <row r="360" spans="1:21" ht="14.25" thickBot="1">
      <c r="A360" s="336">
        <v>360</v>
      </c>
      <c r="C360" s="989"/>
      <c r="D360" s="989"/>
      <c r="E360" s="989"/>
      <c r="F360" s="1079" t="s">
        <v>1063</v>
      </c>
      <c r="G360" s="1080"/>
      <c r="H360" s="1081" t="s">
        <v>1064</v>
      </c>
      <c r="I360" s="1082" t="str">
        <f t="shared" si="62"/>
        <v>-</v>
      </c>
      <c r="J360" s="75"/>
      <c r="K360" s="1066" t="s">
        <v>1065</v>
      </c>
      <c r="M360" s="356" t="str">
        <f t="shared" si="63"/>
        <v/>
      </c>
      <c r="O360" s="166"/>
    </row>
    <row r="361" spans="1:21" ht="27.75" thickBot="1">
      <c r="A361" s="336">
        <v>361</v>
      </c>
      <c r="C361" s="989"/>
      <c r="D361" s="989"/>
      <c r="E361" s="989"/>
      <c r="F361" s="989"/>
      <c r="H361" s="408" t="s">
        <v>1066</v>
      </c>
      <c r="I361" s="409" t="str">
        <f t="shared" si="62"/>
        <v>-</v>
      </c>
      <c r="J361" s="75"/>
      <c r="K361" s="410" t="s">
        <v>1067</v>
      </c>
      <c r="M361" s="356" t="str">
        <f t="shared" si="63"/>
        <v/>
      </c>
      <c r="O361" s="166"/>
    </row>
    <row r="362" spans="1:21" ht="14.25" thickBot="1">
      <c r="A362" s="336">
        <v>362</v>
      </c>
      <c r="C362" s="989"/>
      <c r="D362" s="989"/>
      <c r="E362" s="989"/>
      <c r="F362" s="1079" t="s">
        <v>1068</v>
      </c>
      <c r="G362" s="1083"/>
      <c r="H362" s="1081" t="s">
        <v>1069</v>
      </c>
      <c r="I362" s="1082" t="str">
        <f t="shared" si="62"/>
        <v>-</v>
      </c>
      <c r="J362" s="75"/>
      <c r="K362" s="1066"/>
      <c r="M362" s="356" t="str">
        <f t="shared" si="63"/>
        <v/>
      </c>
      <c r="O362" s="166"/>
    </row>
    <row r="363" spans="1:21" ht="29.25" customHeight="1" thickBot="1">
      <c r="A363" s="336">
        <v>363</v>
      </c>
      <c r="C363" s="989"/>
      <c r="D363" s="989"/>
      <c r="E363" s="989"/>
      <c r="F363" s="989"/>
      <c r="G363" s="501" t="s">
        <v>1058</v>
      </c>
      <c r="H363" s="368" t="s">
        <v>629</v>
      </c>
      <c r="I363" s="369" t="str">
        <f t="shared" si="62"/>
        <v>-</v>
      </c>
      <c r="J363" s="75"/>
      <c r="K363" s="370" t="s">
        <v>630</v>
      </c>
      <c r="M363" s="356" t="str">
        <f t="shared" si="63"/>
        <v/>
      </c>
      <c r="O363" s="166"/>
    </row>
    <row r="364" spans="1:21" ht="29.25" customHeight="1" thickBot="1">
      <c r="A364" s="336">
        <v>364</v>
      </c>
      <c r="C364" s="989"/>
      <c r="D364" s="989"/>
      <c r="E364" s="989"/>
      <c r="F364" s="989"/>
      <c r="G364" s="501" t="s">
        <v>1059</v>
      </c>
      <c r="H364" s="368" t="s">
        <v>1070</v>
      </c>
      <c r="I364" s="369" t="str">
        <f t="shared" si="62"/>
        <v>-</v>
      </c>
      <c r="J364" s="75"/>
      <c r="K364" s="370" t="s">
        <v>630</v>
      </c>
      <c r="M364" s="356" t="str">
        <f t="shared" si="63"/>
        <v/>
      </c>
      <c r="O364" s="166"/>
    </row>
    <row r="365" spans="1:21" ht="41.25" thickBot="1">
      <c r="A365" s="336">
        <v>365</v>
      </c>
      <c r="C365" s="989"/>
      <c r="D365" s="989"/>
      <c r="E365" s="989"/>
      <c r="F365" s="989"/>
      <c r="G365" s="501" t="s">
        <v>1061</v>
      </c>
      <c r="H365" s="368" t="s">
        <v>632</v>
      </c>
      <c r="I365" s="369" t="str">
        <f t="shared" si="62"/>
        <v>-</v>
      </c>
      <c r="J365" s="335"/>
      <c r="K365" s="370" t="s">
        <v>1071</v>
      </c>
      <c r="M365" s="356" t="str">
        <f>+IF(I365="A",IF(ISBLANK(J365),"未入力あり",IF(J365&gt;0,"○","×")),"")</f>
        <v/>
      </c>
      <c r="O365" s="166"/>
      <c r="T365" s="375">
        <v>0</v>
      </c>
      <c r="U365" s="376">
        <v>30</v>
      </c>
    </row>
    <row r="366" spans="1:21" ht="27.75" thickBot="1">
      <c r="A366" s="336">
        <v>366</v>
      </c>
      <c r="C366" s="989"/>
      <c r="D366" s="989"/>
      <c r="E366" s="989"/>
      <c r="F366" s="989"/>
      <c r="G366" s="501" t="s">
        <v>634</v>
      </c>
      <c r="H366" s="368" t="s">
        <v>1072</v>
      </c>
      <c r="I366" s="369" t="str">
        <f t="shared" si="62"/>
        <v>-</v>
      </c>
      <c r="J366" s="335"/>
      <c r="K366" s="370" t="s">
        <v>636</v>
      </c>
      <c r="M366" s="356" t="str">
        <f>+IF(I366="A",IF(ISBLANK(J366),"未入力あり",IF(J366&gt;0,"○","×")),"")</f>
        <v/>
      </c>
      <c r="O366" s="166"/>
      <c r="T366" s="375">
        <v>0</v>
      </c>
      <c r="U366" s="376">
        <v>30</v>
      </c>
    </row>
    <row r="367" spans="1:21" ht="14.25" thickBot="1">
      <c r="A367" s="336">
        <v>367</v>
      </c>
      <c r="C367" s="989"/>
      <c r="D367" s="989"/>
      <c r="E367" s="989"/>
      <c r="F367" s="989"/>
      <c r="G367" s="378"/>
      <c r="H367" s="368" t="s">
        <v>1073</v>
      </c>
      <c r="I367" s="369" t="str">
        <f t="shared" si="62"/>
        <v>-</v>
      </c>
      <c r="J367" s="75"/>
      <c r="K367" s="370"/>
      <c r="M367" s="356" t="str">
        <f t="shared" ref="M367:M370" si="64">+IF(I367="A",IF(ISBLANK(J367),"未入力あり",IF(J367="はい","○","×")),"")</f>
        <v/>
      </c>
      <c r="O367" s="166"/>
    </row>
    <row r="368" spans="1:21" ht="14.25" thickBot="1">
      <c r="A368" s="336">
        <v>368</v>
      </c>
      <c r="C368" s="989"/>
      <c r="D368" s="989"/>
      <c r="E368" s="989"/>
      <c r="F368" s="362"/>
      <c r="G368" s="379"/>
      <c r="H368" s="372" t="s">
        <v>638</v>
      </c>
      <c r="I368" s="373" t="str">
        <f t="shared" si="62"/>
        <v>-</v>
      </c>
      <c r="J368" s="75"/>
      <c r="K368" s="374"/>
      <c r="M368" s="356" t="str">
        <f t="shared" si="64"/>
        <v/>
      </c>
      <c r="O368" s="166"/>
    </row>
    <row r="369" spans="1:21" ht="27.75" thickBot="1">
      <c r="A369" s="336">
        <v>369</v>
      </c>
      <c r="C369" s="989"/>
      <c r="D369" s="989"/>
      <c r="E369" s="989"/>
      <c r="F369" s="362" t="s">
        <v>1074</v>
      </c>
      <c r="G369" s="358"/>
      <c r="H369" s="402" t="s">
        <v>1075</v>
      </c>
      <c r="I369" s="403" t="str">
        <f t="shared" si="62"/>
        <v>-</v>
      </c>
      <c r="J369" s="75"/>
      <c r="K369" s="392" t="s">
        <v>641</v>
      </c>
      <c r="M369" s="356" t="str">
        <f t="shared" si="64"/>
        <v/>
      </c>
      <c r="O369" s="166"/>
    </row>
    <row r="370" spans="1:21" ht="27.75" thickBot="1">
      <c r="A370" s="336">
        <v>370</v>
      </c>
      <c r="C370" s="989"/>
      <c r="D370" s="989"/>
      <c r="E370" s="989"/>
      <c r="F370" s="989" t="s">
        <v>1076</v>
      </c>
      <c r="H370" s="429" t="s">
        <v>1077</v>
      </c>
      <c r="I370" s="430" t="str">
        <f t="shared" si="62"/>
        <v>-</v>
      </c>
      <c r="J370" s="75"/>
      <c r="K370" s="401"/>
      <c r="M370" s="356" t="str">
        <f t="shared" si="64"/>
        <v/>
      </c>
      <c r="O370" s="166"/>
    </row>
    <row r="371" spans="1:21" ht="38.25" customHeight="1" thickBot="1">
      <c r="A371" s="336">
        <v>371</v>
      </c>
      <c r="C371" s="989"/>
      <c r="D371" s="989"/>
      <c r="E371" s="362"/>
      <c r="F371" s="362"/>
      <c r="G371" s="379"/>
      <c r="H371" s="443" t="s">
        <v>1078</v>
      </c>
      <c r="I371" s="360" t="s">
        <v>645</v>
      </c>
      <c r="J371" s="111"/>
      <c r="K371" s="361"/>
      <c r="M371" s="356" t="str">
        <f>+IF(AND(OR($H$3="地域がん診療病院",$H$4="地域がん診療病院",$H$4="地域がん診療病院(特例型)"),J371=""),"未入力あり",IF(AND(OR($H$3="地域がん診療病院",$H$4="地域がん診療病院",$H$4="地域がん診療病院(特例型)"),J371&lt;&gt;""),"〇",""))</f>
        <v/>
      </c>
      <c r="O371" s="166"/>
    </row>
    <row r="372" spans="1:21" ht="14.25" thickBot="1">
      <c r="A372" s="336">
        <v>372</v>
      </c>
      <c r="C372" s="989"/>
      <c r="D372" s="989"/>
      <c r="E372" s="1073" t="s">
        <v>489</v>
      </c>
      <c r="F372" s="1074" t="s">
        <v>1079</v>
      </c>
      <c r="G372" s="1075"/>
      <c r="H372" s="1076"/>
      <c r="I372" s="1077"/>
      <c r="J372" s="1076"/>
      <c r="K372" s="1078"/>
      <c r="O372" s="166"/>
    </row>
    <row r="373" spans="1:21" ht="27.75" thickBot="1">
      <c r="A373" s="336">
        <v>373</v>
      </c>
      <c r="C373" s="989"/>
      <c r="D373" s="989"/>
      <c r="E373" s="989"/>
      <c r="H373" s="68" t="s">
        <v>1080</v>
      </c>
      <c r="I373" s="382"/>
      <c r="J373" s="502"/>
      <c r="K373" s="383"/>
      <c r="O373" s="166"/>
    </row>
    <row r="374" spans="1:21" ht="27.75" thickBot="1">
      <c r="A374" s="336">
        <v>374</v>
      </c>
      <c r="C374" s="989"/>
      <c r="D374" s="989"/>
      <c r="E374" s="989"/>
      <c r="F374" s="1079" t="s">
        <v>614</v>
      </c>
      <c r="G374" s="1080"/>
      <c r="H374" s="1081" t="s">
        <v>1081</v>
      </c>
      <c r="I374" s="1082" t="str">
        <f>+IF(OR($H$3="地域がん診療病院",$H$4="地域がん診療病院",$H$4="地域がん診療病院(特例型)"),"A","-")</f>
        <v>-</v>
      </c>
      <c r="J374" s="75"/>
      <c r="K374" s="1066"/>
      <c r="M374" s="356" t="str">
        <f t="shared" ref="M374:M377" si="65">+IF(I374="A",IF(ISBLANK(J374),"未入力あり",IF(J374="はい","○","×")),"")</f>
        <v/>
      </c>
      <c r="O374" s="166"/>
    </row>
    <row r="375" spans="1:21" ht="27.75" thickBot="1">
      <c r="A375" s="336">
        <v>375</v>
      </c>
      <c r="C375" s="989"/>
      <c r="D375" s="989"/>
      <c r="E375" s="989"/>
      <c r="F375" s="1079" t="s">
        <v>619</v>
      </c>
      <c r="G375" s="1080"/>
      <c r="H375" s="1081" t="s">
        <v>1082</v>
      </c>
      <c r="I375" s="1082" t="str">
        <f>+IF(OR($H$3="地域がん診療病院",$H$4="地域がん診療病院",$H$4="地域がん診療病院(特例型)"),"A","-")</f>
        <v>-</v>
      </c>
      <c r="J375" s="75"/>
      <c r="K375" s="1066"/>
      <c r="M375" s="356" t="str">
        <f t="shared" si="65"/>
        <v/>
      </c>
      <c r="O375" s="166"/>
    </row>
    <row r="376" spans="1:21" ht="14.25" thickBot="1">
      <c r="A376" s="336">
        <v>376</v>
      </c>
      <c r="C376" s="989"/>
      <c r="D376" s="989"/>
      <c r="E376" s="989"/>
      <c r="F376" s="362"/>
      <c r="G376" s="379"/>
      <c r="H376" s="384" t="s">
        <v>648</v>
      </c>
      <c r="I376" s="385" t="s">
        <v>649</v>
      </c>
      <c r="J376" s="75"/>
      <c r="K376" s="386"/>
      <c r="M376" s="356" t="str">
        <f>+IF(AND(OR($H$3="地域がん診療病院",$H$4="地域がん診療病院",$H$4="地域がん診療病院(特例型)"),J376=""),"未入力あり",IF(AND(OR($H$3="地域がん診療病院",$H$4="地域がん診療病院",$H$4="地域がん診療病院(特例型)"),J376&lt;&gt;""),"〇",""))</f>
        <v/>
      </c>
      <c r="O376" s="166"/>
    </row>
    <row r="377" spans="1:21" ht="14.25" thickBot="1">
      <c r="A377" s="336">
        <v>377</v>
      </c>
      <c r="C377" s="989"/>
      <c r="D377" s="989"/>
      <c r="E377" s="989"/>
      <c r="F377" s="1079" t="s">
        <v>627</v>
      </c>
      <c r="G377" s="1080"/>
      <c r="H377" s="1081" t="s">
        <v>650</v>
      </c>
      <c r="I377" s="1082" t="str">
        <f>+IF(OR($H$3="地域がん診療病院",$H$4="地域がん診療病院",$H$4="地域がん診療病院(特例型)"),"A","-")</f>
        <v>-</v>
      </c>
      <c r="J377" s="75"/>
      <c r="K377" s="1066"/>
      <c r="M377" s="356" t="str">
        <f t="shared" si="65"/>
        <v/>
      </c>
      <c r="O377" s="166"/>
    </row>
    <row r="378" spans="1:21" ht="14.25" thickBot="1">
      <c r="A378" s="336">
        <v>378</v>
      </c>
      <c r="C378" s="989"/>
      <c r="D378" s="989"/>
      <c r="E378" s="989"/>
      <c r="F378" s="989"/>
      <c r="H378" s="359" t="s">
        <v>1083</v>
      </c>
      <c r="I378" s="360" t="str">
        <f>+IF(OR($H$3="地域がん診療病院",$H$4="地域がん診療病院",$H$4="地域がん診療病院(特例型)"),"C","-")</f>
        <v>-</v>
      </c>
      <c r="J378" s="75"/>
      <c r="K378" s="361"/>
      <c r="M378" s="356" t="str">
        <f>IF(AND(I378="C",J378=""),"未入力あり",IF(AND(I378="C",J378&lt;&gt;""),"〇",IF(I378="-","")))</f>
        <v/>
      </c>
      <c r="O378" s="166"/>
    </row>
    <row r="379" spans="1:21" ht="27.75" thickBot="1">
      <c r="A379" s="336">
        <v>379</v>
      </c>
      <c r="C379" s="989"/>
      <c r="D379" s="989"/>
      <c r="E379" s="989"/>
      <c r="F379" s="1079" t="s">
        <v>639</v>
      </c>
      <c r="G379" s="1080"/>
      <c r="H379" s="1081" t="s">
        <v>1084</v>
      </c>
      <c r="I379" s="415" t="str">
        <f>+IF(OR($H$3="地域がん診療病院",$H$4="地域がん診療病院",$H$4="地域がん診療病院(特例型)"),"A","-")</f>
        <v>-</v>
      </c>
      <c r="J379" s="336" t="str">
        <f>+IF(AND(ISBLANK(J380),ISBLANK(J381)),"",IF(OR(J380="はい",J381="はい"),"はい","いいえ "))</f>
        <v/>
      </c>
      <c r="K379" s="413" t="s">
        <v>1085</v>
      </c>
      <c r="M379" s="356" t="str">
        <f>+IF(I379="A",IF(AND(ISBLANK(J380),ISBLANK(J381)),"未入力あり",IF(J379="はい","○","×")),"")</f>
        <v/>
      </c>
      <c r="O379" s="166"/>
    </row>
    <row r="380" spans="1:21" ht="14.25" thickBot="1">
      <c r="A380" s="336">
        <v>380</v>
      </c>
      <c r="C380" s="989"/>
      <c r="D380" s="989"/>
      <c r="E380" s="989"/>
      <c r="F380" s="989"/>
      <c r="H380" s="482" t="s">
        <v>1086</v>
      </c>
      <c r="I380" s="417" t="s">
        <v>645</v>
      </c>
      <c r="J380" s="75"/>
      <c r="K380" s="395"/>
      <c r="M380" s="356" t="str">
        <f t="shared" ref="M380:M381" si="66">+IF(AND(OR($H$3="地域がん診療病院",$H$4="地域がん診療病院",$H$4="地域がん診療病院(特例型)"),J380=""),"未入力あり",IF(AND(OR($H$3="地域がん診療病院",$H$4="地域がん診療病院",$H$4="地域がん診療病院(特例型)"),J380&lt;&gt;""),"〇",""))</f>
        <v/>
      </c>
      <c r="O380" s="166"/>
    </row>
    <row r="381" spans="1:21" ht="14.25" thickBot="1">
      <c r="A381" s="336">
        <v>381</v>
      </c>
      <c r="C381" s="989"/>
      <c r="D381" s="989"/>
      <c r="E381" s="989"/>
      <c r="F381" s="362"/>
      <c r="G381" s="358"/>
      <c r="H381" s="384" t="s">
        <v>1087</v>
      </c>
      <c r="I381" s="419" t="s">
        <v>645</v>
      </c>
      <c r="J381" s="75"/>
      <c r="K381" s="420"/>
      <c r="M381" s="356" t="str">
        <f t="shared" si="66"/>
        <v/>
      </c>
      <c r="O381" s="166"/>
    </row>
    <row r="382" spans="1:21" ht="34.5" customHeight="1" thickBot="1">
      <c r="A382" s="336">
        <v>382</v>
      </c>
      <c r="C382" s="989"/>
      <c r="D382" s="989"/>
      <c r="E382" s="989"/>
      <c r="F382" s="1079" t="s">
        <v>642</v>
      </c>
      <c r="G382" s="1080"/>
      <c r="H382" s="1081" t="s">
        <v>660</v>
      </c>
      <c r="I382" s="1082" t="str">
        <f>+IF(OR($H$3="地域がん診療病院",$H$4="地域がん診療病院",$H$4="地域がん診療病院(特例型)"),IF(ISBLANK($J$380),"A/-",IF($J$380="はい","A","-")),"-")</f>
        <v>-</v>
      </c>
      <c r="J382" s="75"/>
      <c r="K382" s="1066" t="s">
        <v>1088</v>
      </c>
      <c r="M382" s="356" t="str">
        <f t="shared" ref="M382" si="67">+IF(I382="A",IF(ISBLANK(J382),"未入力あり",IF(J382="はい","○","×")),"")</f>
        <v/>
      </c>
      <c r="O382" s="166"/>
    </row>
    <row r="383" spans="1:21" ht="13.5" customHeight="1" thickBot="1">
      <c r="A383" s="336">
        <v>383</v>
      </c>
      <c r="C383" s="989"/>
      <c r="D383" s="989"/>
      <c r="E383" s="989"/>
      <c r="F383" s="989"/>
      <c r="H383" s="1081" t="s">
        <v>1089</v>
      </c>
      <c r="I383" s="1082"/>
      <c r="J383" s="1082"/>
      <c r="K383" s="1066"/>
      <c r="O383" s="166"/>
    </row>
    <row r="384" spans="1:21" ht="14.25" thickBot="1">
      <c r="A384" s="336">
        <v>384</v>
      </c>
      <c r="C384" s="989"/>
      <c r="D384" s="989"/>
      <c r="E384" s="989"/>
      <c r="F384" s="989"/>
      <c r="H384" s="449" t="s">
        <v>1090</v>
      </c>
      <c r="I384" s="409" t="s">
        <v>649</v>
      </c>
      <c r="J384" s="335"/>
      <c r="K384" s="395"/>
      <c r="M384" s="356" t="str">
        <f>+IF($J$382="はい",IF(ISBLANK(J384),"未入力あり",IF(J384&lt;&gt;"","○","×")),"")</f>
        <v/>
      </c>
      <c r="O384" s="166"/>
      <c r="U384" s="376">
        <v>202409</v>
      </c>
    </row>
    <row r="385" spans="1:15" ht="34.5" customHeight="1" thickBot="1">
      <c r="A385" s="336">
        <v>385</v>
      </c>
      <c r="C385" s="989"/>
      <c r="D385" s="989"/>
      <c r="E385" s="989"/>
      <c r="F385" s="989"/>
      <c r="H385" s="449" t="s">
        <v>662</v>
      </c>
      <c r="I385" s="409" t="s">
        <v>649</v>
      </c>
      <c r="J385" s="111"/>
      <c r="K385" s="410"/>
      <c r="M385" s="356" t="str">
        <f t="shared" ref="M385:M386" si="68">+IF($J$382="はい",IF(ISBLANK(J385),"未入力あり",IF(J385&lt;&gt;"","○","×")),"")</f>
        <v/>
      </c>
      <c r="O385" s="166"/>
    </row>
    <row r="386" spans="1:15" ht="14.25" thickBot="1">
      <c r="A386" s="336">
        <v>386</v>
      </c>
      <c r="C386" s="989"/>
      <c r="D386" s="989"/>
      <c r="E386" s="989"/>
      <c r="F386" s="989"/>
      <c r="H386" s="443" t="s">
        <v>663</v>
      </c>
      <c r="I386" s="360" t="s">
        <v>649</v>
      </c>
      <c r="J386" s="75"/>
      <c r="K386" s="361"/>
      <c r="M386" s="356" t="str">
        <f t="shared" si="68"/>
        <v/>
      </c>
      <c r="O386" s="166"/>
    </row>
    <row r="387" spans="1:15" ht="14.25" thickBot="1">
      <c r="A387" s="336">
        <v>387</v>
      </c>
      <c r="C387" s="989"/>
      <c r="D387" s="989"/>
      <c r="E387" s="989"/>
      <c r="F387" s="362" t="s">
        <v>1091</v>
      </c>
      <c r="G387" s="358"/>
      <c r="H387" s="402" t="s">
        <v>1092</v>
      </c>
      <c r="I387" s="403" t="str">
        <f>+IF(OR($H$3="地域がん診療病院",$H$4="地域がん診療病院",$H$4="地域がん診療病院(特例型)"),"A","-")</f>
        <v>-</v>
      </c>
      <c r="J387" s="75"/>
      <c r="K387" s="392"/>
      <c r="M387" s="356" t="str">
        <f t="shared" ref="M387:M389" si="69">+IF(I387="A",IF(ISBLANK(J387),"未入力あり",IF(J387="はい","○","×")),"")</f>
        <v/>
      </c>
      <c r="O387" s="166"/>
    </row>
    <row r="388" spans="1:15" ht="14.25" thickBot="1">
      <c r="A388" s="336">
        <v>388</v>
      </c>
      <c r="C388" s="989"/>
      <c r="D388" s="989"/>
      <c r="E388" s="989"/>
      <c r="F388" s="362" t="s">
        <v>1093</v>
      </c>
      <c r="G388" s="358"/>
      <c r="H388" s="402" t="s">
        <v>667</v>
      </c>
      <c r="I388" s="403" t="str">
        <f>+IF(OR($H$3="地域がん診療病院",$H$4="地域がん診療病院",$H$4="地域がん診療病院(特例型)"),"A","-")</f>
        <v>-</v>
      </c>
      <c r="J388" s="75"/>
      <c r="K388" s="392"/>
      <c r="M388" s="356" t="str">
        <f t="shared" si="69"/>
        <v/>
      </c>
      <c r="O388" s="166"/>
    </row>
    <row r="389" spans="1:15" ht="27.75" thickBot="1">
      <c r="A389" s="336">
        <v>389</v>
      </c>
      <c r="C389" s="989"/>
      <c r="D389" s="989"/>
      <c r="E389" s="362"/>
      <c r="F389" s="362" t="s">
        <v>666</v>
      </c>
      <c r="G389" s="358"/>
      <c r="H389" s="402" t="s">
        <v>1094</v>
      </c>
      <c r="I389" s="403" t="str">
        <f>+IF(OR($H$3="地域がん診療病院",$H$4="地域がん診療病院",$H$4="地域がん診療病院(特例型)"),"A","-")</f>
        <v>-</v>
      </c>
      <c r="J389" s="75"/>
      <c r="K389" s="392"/>
      <c r="M389" s="356" t="str">
        <f t="shared" si="69"/>
        <v/>
      </c>
      <c r="O389" s="166"/>
    </row>
    <row r="390" spans="1:15" ht="14.25" thickBot="1">
      <c r="A390" s="336">
        <v>390</v>
      </c>
      <c r="C390" s="989"/>
      <c r="D390" s="989"/>
      <c r="E390" s="1073" t="s">
        <v>670</v>
      </c>
      <c r="F390" s="1074" t="s">
        <v>671</v>
      </c>
      <c r="G390" s="1075"/>
      <c r="H390" s="1076"/>
      <c r="I390" s="1077"/>
      <c r="J390" s="1076"/>
      <c r="K390" s="1078"/>
      <c r="O390" s="166"/>
    </row>
    <row r="391" spans="1:15" ht="27.75" thickBot="1">
      <c r="A391" s="336">
        <v>391</v>
      </c>
      <c r="C391" s="989"/>
      <c r="D391" s="989"/>
      <c r="E391" s="989"/>
      <c r="F391" s="1079" t="s">
        <v>614</v>
      </c>
      <c r="G391" s="1080"/>
      <c r="H391" s="1081" t="s">
        <v>672</v>
      </c>
      <c r="I391" s="1082" t="str">
        <f t="shared" ref="I391:I404" si="70">+IF(OR($H$3="地域がん診療病院",$H$4="地域がん診療病院",$H$4="地域がん診療病院(特例型)"),"A","-")</f>
        <v>-</v>
      </c>
      <c r="J391" s="75"/>
      <c r="K391" s="1066"/>
      <c r="M391" s="356" t="str">
        <f t="shared" ref="M391:M419" si="71">+IF(I391="A",IF(ISBLANK(J391),"未入力あり",IF(J391="はい","○","×")),"")</f>
        <v/>
      </c>
      <c r="O391" s="166"/>
    </row>
    <row r="392" spans="1:15" ht="27.75" thickBot="1">
      <c r="A392" s="336">
        <v>392</v>
      </c>
      <c r="C392" s="989"/>
      <c r="D392" s="989"/>
      <c r="E392" s="989"/>
      <c r="F392" s="1079" t="s">
        <v>619</v>
      </c>
      <c r="G392" s="1080"/>
      <c r="H392" s="1081" t="s">
        <v>673</v>
      </c>
      <c r="I392" s="1082" t="str">
        <f t="shared" si="70"/>
        <v>-</v>
      </c>
      <c r="J392" s="75"/>
      <c r="K392" s="1066"/>
      <c r="M392" s="356" t="str">
        <f t="shared" si="71"/>
        <v/>
      </c>
      <c r="O392" s="166"/>
    </row>
    <row r="393" spans="1:15" ht="27.75" thickBot="1">
      <c r="A393" s="336">
        <v>393</v>
      </c>
      <c r="C393" s="989"/>
      <c r="D393" s="989"/>
      <c r="E393" s="989"/>
      <c r="F393" s="362"/>
      <c r="G393" s="358"/>
      <c r="H393" s="359" t="s">
        <v>674</v>
      </c>
      <c r="I393" s="360" t="str">
        <f t="shared" si="70"/>
        <v>-</v>
      </c>
      <c r="J393" s="75"/>
      <c r="K393" s="361"/>
      <c r="M393" s="356" t="str">
        <f t="shared" si="71"/>
        <v/>
      </c>
      <c r="O393" s="166"/>
    </row>
    <row r="394" spans="1:15" ht="27.75" thickBot="1">
      <c r="A394" s="336">
        <v>394</v>
      </c>
      <c r="C394" s="989"/>
      <c r="D394" s="989"/>
      <c r="E394" s="989"/>
      <c r="F394" s="989" t="s">
        <v>627</v>
      </c>
      <c r="H394" s="364" t="s">
        <v>1095</v>
      </c>
      <c r="I394" s="365" t="str">
        <f t="shared" si="70"/>
        <v>-</v>
      </c>
      <c r="J394" s="75"/>
      <c r="K394" s="366" t="s">
        <v>1096</v>
      </c>
      <c r="M394" s="356" t="str">
        <f t="shared" si="71"/>
        <v/>
      </c>
      <c r="O394" s="166"/>
    </row>
    <row r="395" spans="1:15" ht="27.75" thickBot="1">
      <c r="A395" s="336">
        <v>395</v>
      </c>
      <c r="C395" s="989"/>
      <c r="D395" s="989"/>
      <c r="E395" s="989"/>
      <c r="F395" s="989"/>
      <c r="G395" s="367" t="s">
        <v>621</v>
      </c>
      <c r="H395" s="368" t="s">
        <v>1097</v>
      </c>
      <c r="I395" s="369" t="str">
        <f t="shared" si="70"/>
        <v>-</v>
      </c>
      <c r="J395" s="75"/>
      <c r="K395" s="370" t="s">
        <v>676</v>
      </c>
      <c r="M395" s="356" t="str">
        <f t="shared" si="71"/>
        <v/>
      </c>
      <c r="O395" s="166"/>
    </row>
    <row r="396" spans="1:15" ht="27.75" thickBot="1">
      <c r="A396" s="336">
        <v>396</v>
      </c>
      <c r="C396" s="989"/>
      <c r="D396" s="989"/>
      <c r="E396" s="989"/>
      <c r="F396" s="989"/>
      <c r="G396" s="377" t="s">
        <v>623</v>
      </c>
      <c r="H396" s="411" t="s">
        <v>678</v>
      </c>
      <c r="I396" s="412" t="str">
        <f t="shared" si="70"/>
        <v>-</v>
      </c>
      <c r="J396" s="75"/>
      <c r="K396" s="413" t="s">
        <v>676</v>
      </c>
      <c r="M396" s="356" t="str">
        <f t="shared" si="71"/>
        <v/>
      </c>
      <c r="O396" s="166"/>
    </row>
    <row r="397" spans="1:15" ht="14.25" thickBot="1">
      <c r="A397" s="336">
        <v>397</v>
      </c>
      <c r="C397" s="989"/>
      <c r="D397" s="989"/>
      <c r="E397" s="989"/>
      <c r="F397" s="989"/>
      <c r="G397" s="404"/>
      <c r="H397" s="372" t="s">
        <v>1098</v>
      </c>
      <c r="I397" s="373" t="str">
        <f t="shared" si="70"/>
        <v>-</v>
      </c>
      <c r="J397" s="75"/>
      <c r="K397" s="374"/>
      <c r="M397" s="356" t="str">
        <f t="shared" si="71"/>
        <v/>
      </c>
      <c r="O397" s="166"/>
    </row>
    <row r="398" spans="1:15" ht="14.25" thickBot="1">
      <c r="A398" s="336">
        <v>398</v>
      </c>
      <c r="C398" s="989"/>
      <c r="D398" s="989"/>
      <c r="E398" s="989"/>
      <c r="F398" s="1079" t="s">
        <v>639</v>
      </c>
      <c r="G398" s="1080"/>
      <c r="H398" s="1081" t="s">
        <v>1099</v>
      </c>
      <c r="I398" s="1082" t="str">
        <f t="shared" si="70"/>
        <v>-</v>
      </c>
      <c r="J398" s="75"/>
      <c r="K398" s="1066" t="s">
        <v>1100</v>
      </c>
      <c r="M398" s="356" t="str">
        <f t="shared" si="71"/>
        <v/>
      </c>
      <c r="O398" s="166"/>
    </row>
    <row r="399" spans="1:15" ht="14.25" thickBot="1">
      <c r="A399" s="336">
        <v>399</v>
      </c>
      <c r="C399" s="989"/>
      <c r="D399" s="989"/>
      <c r="E399" s="989"/>
      <c r="F399" s="989"/>
      <c r="H399" s="408" t="s">
        <v>682</v>
      </c>
      <c r="I399" s="409" t="str">
        <f t="shared" si="70"/>
        <v>-</v>
      </c>
      <c r="J399" s="75"/>
      <c r="K399" s="410"/>
      <c r="M399" s="356" t="str">
        <f t="shared" si="71"/>
        <v/>
      </c>
      <c r="O399" s="166"/>
    </row>
    <row r="400" spans="1:15" ht="14.25" thickBot="1">
      <c r="A400" s="336">
        <v>400</v>
      </c>
      <c r="C400" s="989"/>
      <c r="D400" s="989"/>
      <c r="E400" s="989"/>
      <c r="F400" s="362"/>
      <c r="G400" s="358"/>
      <c r="H400" s="402" t="s">
        <v>683</v>
      </c>
      <c r="I400" s="403" t="str">
        <f t="shared" si="70"/>
        <v>-</v>
      </c>
      <c r="J400" s="75"/>
      <c r="K400" s="392"/>
      <c r="M400" s="356" t="str">
        <f t="shared" si="71"/>
        <v/>
      </c>
      <c r="O400" s="166"/>
    </row>
    <row r="401" spans="1:15" ht="27.75" thickBot="1">
      <c r="A401" s="336">
        <v>401</v>
      </c>
      <c r="C401" s="989"/>
      <c r="D401" s="989"/>
      <c r="E401" s="989"/>
      <c r="F401" s="989" t="s">
        <v>642</v>
      </c>
      <c r="H401" s="1081" t="s">
        <v>684</v>
      </c>
      <c r="I401" s="1082" t="str">
        <f t="shared" si="70"/>
        <v>-</v>
      </c>
      <c r="J401" s="75"/>
      <c r="K401" s="1066"/>
      <c r="M401" s="356" t="str">
        <f t="shared" si="71"/>
        <v/>
      </c>
      <c r="O401" s="166"/>
    </row>
    <row r="402" spans="1:15" ht="14.25" thickBot="1">
      <c r="A402" s="336">
        <v>402</v>
      </c>
      <c r="C402" s="989"/>
      <c r="D402" s="989"/>
      <c r="E402" s="989"/>
      <c r="F402" s="989"/>
      <c r="H402" s="359" t="s">
        <v>685</v>
      </c>
      <c r="I402" s="360" t="str">
        <f t="shared" si="70"/>
        <v>-</v>
      </c>
      <c r="J402" s="75"/>
      <c r="K402" s="361"/>
      <c r="M402" s="356" t="str">
        <f t="shared" si="71"/>
        <v/>
      </c>
      <c r="O402" s="166"/>
    </row>
    <row r="403" spans="1:15" ht="14.25" thickBot="1">
      <c r="A403" s="336">
        <v>403</v>
      </c>
      <c r="C403" s="989"/>
      <c r="D403" s="989"/>
      <c r="E403" s="989"/>
      <c r="F403" s="1079" t="s">
        <v>659</v>
      </c>
      <c r="G403" s="1080"/>
      <c r="H403" s="364" t="s">
        <v>1101</v>
      </c>
      <c r="I403" s="365" t="str">
        <f t="shared" si="70"/>
        <v>-</v>
      </c>
      <c r="J403" s="75"/>
      <c r="K403" s="366"/>
      <c r="M403" s="356" t="str">
        <f t="shared" si="71"/>
        <v/>
      </c>
      <c r="O403" s="166"/>
    </row>
    <row r="404" spans="1:15" ht="27.75" thickBot="1">
      <c r="A404" s="336">
        <v>404</v>
      </c>
      <c r="C404" s="989"/>
      <c r="D404" s="989"/>
      <c r="E404" s="989"/>
      <c r="F404" s="989"/>
      <c r="G404" s="367" t="s">
        <v>621</v>
      </c>
      <c r="H404" s="368" t="s">
        <v>687</v>
      </c>
      <c r="I404" s="369" t="str">
        <f t="shared" si="70"/>
        <v>-</v>
      </c>
      <c r="J404" s="75"/>
      <c r="K404" s="370"/>
      <c r="M404" s="356" t="str">
        <f t="shared" si="71"/>
        <v/>
      </c>
      <c r="O404" s="166"/>
    </row>
    <row r="405" spans="1:15" ht="27.75" thickBot="1">
      <c r="A405" s="336">
        <v>405</v>
      </c>
      <c r="C405" s="989"/>
      <c r="D405" s="989"/>
      <c r="E405" s="989"/>
      <c r="F405" s="362"/>
      <c r="G405" s="371" t="s">
        <v>623</v>
      </c>
      <c r="H405" s="372" t="s">
        <v>688</v>
      </c>
      <c r="I405" s="373" t="str">
        <f>+IF(OR($H$3="地域がん診療病院",$H$4="地域がん診療病院",$H$4="地域がん診療病院(特例型)"),"C","-")</f>
        <v>-</v>
      </c>
      <c r="J405" s="75"/>
      <c r="K405" s="374" t="s">
        <v>1102</v>
      </c>
      <c r="M405" s="356" t="str">
        <f>IF(AND(I405="C",J405=""),"未入力あり",IF(AND(I405="C",J405&lt;&gt;""),"〇",IF(I405="-","")))</f>
        <v/>
      </c>
      <c r="O405" s="166"/>
    </row>
    <row r="406" spans="1:15" ht="41.25" thickBot="1">
      <c r="A406" s="336">
        <v>406</v>
      </c>
      <c r="C406" s="989"/>
      <c r="D406" s="989"/>
      <c r="E406" s="989"/>
      <c r="F406" s="989" t="s">
        <v>664</v>
      </c>
      <c r="H406" s="68" t="s">
        <v>690</v>
      </c>
      <c r="I406" s="382" t="str">
        <f t="shared" ref="I406:I411" si="72">+IF(OR($H$3="地域がん診療病院",$H$4="地域がん診療病院",$H$4="地域がん診療病院(特例型)"),"A","-")</f>
        <v>-</v>
      </c>
      <c r="J406" s="75"/>
      <c r="K406" s="383" t="s">
        <v>1103</v>
      </c>
      <c r="M406" s="356" t="str">
        <f t="shared" si="71"/>
        <v/>
      </c>
      <c r="O406" s="166"/>
    </row>
    <row r="407" spans="1:15" ht="27.75" thickBot="1">
      <c r="A407" s="336">
        <v>407</v>
      </c>
      <c r="C407" s="989"/>
      <c r="D407" s="989"/>
      <c r="E407" s="989"/>
      <c r="F407" s="380" t="s">
        <v>666</v>
      </c>
      <c r="G407" s="381"/>
      <c r="H407" s="68" t="s">
        <v>692</v>
      </c>
      <c r="I407" s="382" t="str">
        <f t="shared" si="72"/>
        <v>-</v>
      </c>
      <c r="J407" s="75"/>
      <c r="K407" s="383"/>
      <c r="M407" s="356" t="str">
        <f t="shared" si="71"/>
        <v/>
      </c>
      <c r="O407" s="166"/>
    </row>
    <row r="408" spans="1:15" ht="27.75" thickBot="1">
      <c r="A408" s="336">
        <v>408</v>
      </c>
      <c r="C408" s="989"/>
      <c r="D408" s="989"/>
      <c r="E408" s="989"/>
      <c r="F408" s="989" t="s">
        <v>668</v>
      </c>
      <c r="H408" s="68" t="s">
        <v>693</v>
      </c>
      <c r="I408" s="382" t="str">
        <f t="shared" si="72"/>
        <v>-</v>
      </c>
      <c r="J408" s="75"/>
      <c r="K408" s="383"/>
      <c r="M408" s="356" t="str">
        <f t="shared" si="71"/>
        <v/>
      </c>
      <c r="O408" s="166"/>
    </row>
    <row r="409" spans="1:15" ht="14.25" thickBot="1">
      <c r="A409" s="336">
        <v>409</v>
      </c>
      <c r="C409" s="989"/>
      <c r="D409" s="989"/>
      <c r="E409" s="989"/>
      <c r="F409" s="1079" t="s">
        <v>694</v>
      </c>
      <c r="G409" s="1080"/>
      <c r="H409" s="364" t="s">
        <v>1104</v>
      </c>
      <c r="I409" s="365" t="str">
        <f t="shared" si="72"/>
        <v>-</v>
      </c>
      <c r="J409" s="75"/>
      <c r="K409" s="366"/>
      <c r="M409" s="356" t="str">
        <f>+IF(I409="A",IF(ISBLANK(J409),"未入力あり",IF(J409="はい","○","×")),"")</f>
        <v/>
      </c>
      <c r="O409" s="166"/>
    </row>
    <row r="410" spans="1:15" ht="14.25" thickBot="1">
      <c r="A410" s="336">
        <v>410</v>
      </c>
      <c r="C410" s="989"/>
      <c r="D410" s="989"/>
      <c r="E410" s="989"/>
      <c r="F410" s="989"/>
      <c r="G410" s="377" t="s">
        <v>621</v>
      </c>
      <c r="H410" s="411" t="s">
        <v>1105</v>
      </c>
      <c r="I410" s="412" t="str">
        <f t="shared" si="72"/>
        <v>-</v>
      </c>
      <c r="J410" s="75"/>
      <c r="K410" s="413" t="s">
        <v>1106</v>
      </c>
      <c r="M410" s="356" t="str">
        <f t="shared" si="71"/>
        <v/>
      </c>
      <c r="O410" s="166"/>
    </row>
    <row r="411" spans="1:15" ht="27.75" thickBot="1">
      <c r="A411" s="336">
        <v>411</v>
      </c>
      <c r="C411" s="989"/>
      <c r="D411" s="989"/>
      <c r="E411" s="989"/>
      <c r="F411" s="989"/>
      <c r="G411" s="414"/>
      <c r="H411" s="368" t="s">
        <v>698</v>
      </c>
      <c r="I411" s="412" t="str">
        <f t="shared" si="72"/>
        <v>-</v>
      </c>
      <c r="J411" s="336" t="str">
        <f>+IF(AND(ISBLANK(J412),ISBLANK(J413)),"",IF(OR(J412="はい",J413="はい"),"はい","いいえ "))</f>
        <v/>
      </c>
      <c r="K411" s="413" t="s">
        <v>1107</v>
      </c>
      <c r="M411" s="356" t="str">
        <f>+IF(I411="A",IF(AND(ISBLANK(J412),ISBLANK(J413)),"未入力あり",IF(J411="はい","○","×")),"")</f>
        <v/>
      </c>
      <c r="O411" s="166"/>
    </row>
    <row r="412" spans="1:15" ht="14.25" thickBot="1">
      <c r="A412" s="336">
        <v>412</v>
      </c>
      <c r="C412" s="989"/>
      <c r="D412" s="989"/>
      <c r="E412" s="989"/>
      <c r="F412" s="989"/>
      <c r="G412" s="414"/>
      <c r="H412" s="416" t="s">
        <v>700</v>
      </c>
      <c r="I412" s="417" t="s">
        <v>645</v>
      </c>
      <c r="J412" s="75"/>
      <c r="K412" s="395"/>
      <c r="M412" s="356" t="str">
        <f t="shared" ref="M412:M413" si="73">+IF(AND(OR($H$3="地域がん診療病院",$H$4="地域がん診療病院",$H$4="地域がん診療病院(特例型)"),J412=""),"未入力あり",IF(AND(OR($H$3="地域がん診療病院",$H$4="地域がん診療病院",$H$4="地域がん診療病院(特例型)"),J412&lt;&gt;""),"〇",""))</f>
        <v/>
      </c>
      <c r="O412" s="166"/>
    </row>
    <row r="413" spans="1:15" ht="14.25" thickBot="1">
      <c r="A413" s="336">
        <v>413</v>
      </c>
      <c r="C413" s="989"/>
      <c r="D413" s="989"/>
      <c r="E413" s="989"/>
      <c r="F413" s="989"/>
      <c r="G413" s="414"/>
      <c r="H413" s="418" t="s">
        <v>701</v>
      </c>
      <c r="I413" s="419" t="s">
        <v>645</v>
      </c>
      <c r="J413" s="75"/>
      <c r="K413" s="420"/>
      <c r="M413" s="356" t="str">
        <f t="shared" si="73"/>
        <v/>
      </c>
      <c r="O413" s="166"/>
    </row>
    <row r="414" spans="1:15" ht="14.25" thickBot="1">
      <c r="A414" s="336">
        <v>414</v>
      </c>
      <c r="C414" s="989"/>
      <c r="D414" s="989"/>
      <c r="E414" s="989"/>
      <c r="F414" s="989"/>
      <c r="G414" s="414"/>
      <c r="H414" s="503" t="s">
        <v>702</v>
      </c>
      <c r="I414" s="504" t="str">
        <f t="shared" ref="I414:I419" si="74">+IF(OR($H$3="地域がん診療病院",$H$4="地域がん診療病院",$H$4="地域がん診療病院(特例型)"),"A","-")</f>
        <v>-</v>
      </c>
      <c r="J414" s="75"/>
      <c r="K414" s="505"/>
      <c r="M414" s="356" t="str">
        <f t="shared" si="71"/>
        <v/>
      </c>
      <c r="O414" s="166"/>
    </row>
    <row r="415" spans="1:15" ht="14.25" thickBot="1">
      <c r="A415" s="336">
        <v>415</v>
      </c>
      <c r="C415" s="989"/>
      <c r="D415" s="989"/>
      <c r="E415" s="989"/>
      <c r="F415" s="989"/>
      <c r="G415" s="377" t="s">
        <v>623</v>
      </c>
      <c r="H415" s="411" t="s">
        <v>703</v>
      </c>
      <c r="I415" s="412" t="str">
        <f t="shared" si="74"/>
        <v>-</v>
      </c>
      <c r="J415" s="75"/>
      <c r="K415" s="413"/>
      <c r="M415" s="356" t="str">
        <f t="shared" si="71"/>
        <v/>
      </c>
      <c r="O415" s="166"/>
    </row>
    <row r="416" spans="1:15" ht="27.75" thickBot="1">
      <c r="A416" s="336">
        <v>416</v>
      </c>
      <c r="C416" s="989"/>
      <c r="D416" s="989"/>
      <c r="E416" s="989"/>
      <c r="F416" s="989"/>
      <c r="G416" s="414"/>
      <c r="H416" s="368" t="s">
        <v>704</v>
      </c>
      <c r="I416" s="369" t="str">
        <f t="shared" si="74"/>
        <v>-</v>
      </c>
      <c r="J416" s="75"/>
      <c r="K416" s="370"/>
      <c r="M416" s="356" t="str">
        <f t="shared" si="71"/>
        <v/>
      </c>
      <c r="O416" s="166"/>
    </row>
    <row r="417" spans="1:15" ht="14.25" thickBot="1">
      <c r="A417" s="336">
        <v>417</v>
      </c>
      <c r="C417" s="989"/>
      <c r="D417" s="989"/>
      <c r="E417" s="989"/>
      <c r="F417" s="362"/>
      <c r="G417" s="404"/>
      <c r="H417" s="405" t="s">
        <v>705</v>
      </c>
      <c r="I417" s="406" t="str">
        <f t="shared" si="74"/>
        <v>-</v>
      </c>
      <c r="J417" s="75"/>
      <c r="K417" s="407"/>
      <c r="M417" s="356" t="str">
        <f t="shared" si="71"/>
        <v/>
      </c>
      <c r="O417" s="166"/>
    </row>
    <row r="418" spans="1:15" ht="27.75" thickBot="1">
      <c r="A418" s="336">
        <v>418</v>
      </c>
      <c r="C418" s="989"/>
      <c r="D418" s="989"/>
      <c r="E418" s="989"/>
      <c r="F418" s="1079" t="s">
        <v>706</v>
      </c>
      <c r="G418" s="1080"/>
      <c r="H418" s="364" t="s">
        <v>707</v>
      </c>
      <c r="I418" s="365" t="str">
        <f t="shared" si="74"/>
        <v>-</v>
      </c>
      <c r="J418" s="75"/>
      <c r="K418" s="366" t="s">
        <v>1108</v>
      </c>
      <c r="M418" s="356" t="str">
        <f t="shared" si="71"/>
        <v/>
      </c>
      <c r="O418" s="166"/>
    </row>
    <row r="419" spans="1:15" ht="14.25" thickBot="1">
      <c r="A419" s="336">
        <v>419</v>
      </c>
      <c r="C419" s="989"/>
      <c r="D419" s="989"/>
      <c r="E419" s="362"/>
      <c r="F419" s="362"/>
      <c r="G419" s="358"/>
      <c r="H419" s="402" t="s">
        <v>709</v>
      </c>
      <c r="I419" s="403" t="str">
        <f t="shared" si="74"/>
        <v>-</v>
      </c>
      <c r="J419" s="75"/>
      <c r="K419" s="392"/>
      <c r="M419" s="356" t="str">
        <f t="shared" si="71"/>
        <v/>
      </c>
      <c r="O419" s="166"/>
    </row>
    <row r="420" spans="1:15" ht="14.25" thickBot="1">
      <c r="A420" s="336">
        <v>420</v>
      </c>
      <c r="C420" s="989"/>
      <c r="D420" s="989"/>
      <c r="E420" s="1073" t="s">
        <v>710</v>
      </c>
      <c r="F420" s="1074" t="s">
        <v>711</v>
      </c>
      <c r="G420" s="1075"/>
      <c r="H420" s="1076"/>
      <c r="I420" s="1077"/>
      <c r="J420" s="1076"/>
      <c r="K420" s="1078"/>
      <c r="O420" s="166"/>
    </row>
    <row r="421" spans="1:15" ht="14.25" thickBot="1">
      <c r="A421" s="336">
        <v>421</v>
      </c>
      <c r="C421" s="989"/>
      <c r="D421" s="989"/>
      <c r="E421" s="989"/>
      <c r="F421" s="1079" t="s">
        <v>614</v>
      </c>
      <c r="G421" s="1080"/>
      <c r="H421" s="364" t="s">
        <v>712</v>
      </c>
      <c r="I421" s="365" t="str">
        <f t="shared" ref="I421:I433" si="75">+IF(OR($H$3="地域がん診療病院",$H$4="地域がん診療病院",$H$4="地域がん診療病院(特例型)"),"A","-")</f>
        <v>-</v>
      </c>
      <c r="J421" s="75"/>
      <c r="K421" s="366"/>
      <c r="M421" s="356" t="str">
        <f t="shared" ref="M421:M433" si="76">+IF(I421="A",IF(ISBLANK(J421),"未入力あり",IF(J421="はい","○","×")),"")</f>
        <v/>
      </c>
      <c r="O421" s="166"/>
    </row>
    <row r="422" spans="1:15" ht="27.75" thickBot="1">
      <c r="A422" s="336">
        <v>422</v>
      </c>
      <c r="C422" s="989"/>
      <c r="D422" s="989"/>
      <c r="E422" s="989"/>
      <c r="F422" s="989"/>
      <c r="G422" s="377" t="s">
        <v>621</v>
      </c>
      <c r="H422" s="411" t="s">
        <v>713</v>
      </c>
      <c r="I422" s="412" t="str">
        <f t="shared" si="75"/>
        <v>-</v>
      </c>
      <c r="J422" s="75"/>
      <c r="K422" s="413"/>
      <c r="M422" s="356" t="str">
        <f t="shared" si="76"/>
        <v/>
      </c>
      <c r="O422" s="166"/>
    </row>
    <row r="423" spans="1:15" ht="27.75" thickBot="1">
      <c r="A423" s="336">
        <v>423</v>
      </c>
      <c r="C423" s="989"/>
      <c r="D423" s="989"/>
      <c r="E423" s="989"/>
      <c r="F423" s="989"/>
      <c r="G423" s="377" t="s">
        <v>623</v>
      </c>
      <c r="H423" s="411" t="s">
        <v>714</v>
      </c>
      <c r="I423" s="412" t="str">
        <f t="shared" si="75"/>
        <v>-</v>
      </c>
      <c r="J423" s="75"/>
      <c r="K423" s="413"/>
      <c r="M423" s="356" t="str">
        <f t="shared" si="76"/>
        <v/>
      </c>
      <c r="O423" s="166"/>
    </row>
    <row r="424" spans="1:15" ht="27.75" thickBot="1">
      <c r="A424" s="336">
        <v>424</v>
      </c>
      <c r="C424" s="989"/>
      <c r="D424" s="989"/>
      <c r="E424" s="989"/>
      <c r="F424" s="989"/>
      <c r="G424" s="377" t="s">
        <v>625</v>
      </c>
      <c r="H424" s="411" t="s">
        <v>715</v>
      </c>
      <c r="I424" s="412" t="str">
        <f t="shared" si="75"/>
        <v>-</v>
      </c>
      <c r="J424" s="75"/>
      <c r="K424" s="413"/>
      <c r="M424" s="356" t="str">
        <f t="shared" si="76"/>
        <v/>
      </c>
      <c r="O424" s="166"/>
    </row>
    <row r="425" spans="1:15" ht="14.25" thickBot="1">
      <c r="A425" s="336">
        <v>425</v>
      </c>
      <c r="C425" s="989"/>
      <c r="D425" s="989"/>
      <c r="E425" s="989"/>
      <c r="F425" s="989"/>
      <c r="G425" s="371" t="s">
        <v>634</v>
      </c>
      <c r="H425" s="372" t="s">
        <v>716</v>
      </c>
      <c r="I425" s="373" t="str">
        <f t="shared" si="75"/>
        <v>-</v>
      </c>
      <c r="J425" s="75"/>
      <c r="K425" s="374"/>
      <c r="M425" s="356" t="str">
        <f t="shared" si="76"/>
        <v/>
      </c>
      <c r="O425" s="166"/>
    </row>
    <row r="426" spans="1:15" ht="14.25" thickBot="1">
      <c r="A426" s="336">
        <v>426</v>
      </c>
      <c r="C426" s="989"/>
      <c r="D426" s="989"/>
      <c r="E426" s="989"/>
      <c r="F426" s="380" t="s">
        <v>619</v>
      </c>
      <c r="G426" s="381"/>
      <c r="H426" s="68" t="s">
        <v>717</v>
      </c>
      <c r="I426" s="382" t="str">
        <f t="shared" si="75"/>
        <v>-</v>
      </c>
      <c r="J426" s="75"/>
      <c r="K426" s="383"/>
      <c r="M426" s="356" t="str">
        <f t="shared" si="76"/>
        <v/>
      </c>
      <c r="O426" s="166"/>
    </row>
    <row r="427" spans="1:15" ht="14.25" thickBot="1">
      <c r="A427" s="336">
        <v>427</v>
      </c>
      <c r="C427" s="989"/>
      <c r="D427" s="989"/>
      <c r="E427" s="989"/>
      <c r="F427" s="989" t="s">
        <v>627</v>
      </c>
      <c r="H427" s="429" t="s">
        <v>718</v>
      </c>
      <c r="I427" s="430" t="str">
        <f t="shared" si="75"/>
        <v>-</v>
      </c>
      <c r="J427" s="75"/>
      <c r="K427" s="401"/>
      <c r="M427" s="356" t="str">
        <f t="shared" si="76"/>
        <v/>
      </c>
      <c r="O427" s="166"/>
    </row>
    <row r="428" spans="1:15" ht="27.75" thickBot="1">
      <c r="A428" s="336">
        <v>428</v>
      </c>
      <c r="C428" s="989"/>
      <c r="D428" s="989"/>
      <c r="E428" s="989"/>
      <c r="F428" s="380" t="s">
        <v>639</v>
      </c>
      <c r="G428" s="381"/>
      <c r="H428" s="68" t="s">
        <v>719</v>
      </c>
      <c r="I428" s="382" t="str">
        <f t="shared" si="75"/>
        <v>-</v>
      </c>
      <c r="J428" s="75"/>
      <c r="K428" s="383" t="s">
        <v>1109</v>
      </c>
      <c r="M428" s="356" t="str">
        <f t="shared" si="76"/>
        <v/>
      </c>
      <c r="O428" s="166"/>
    </row>
    <row r="429" spans="1:15" ht="27.75" thickBot="1">
      <c r="A429" s="336">
        <v>429</v>
      </c>
      <c r="C429" s="989"/>
      <c r="D429" s="989"/>
      <c r="E429" s="989"/>
      <c r="F429" s="989" t="s">
        <v>642</v>
      </c>
      <c r="H429" s="429" t="s">
        <v>721</v>
      </c>
      <c r="I429" s="430" t="str">
        <f t="shared" si="75"/>
        <v>-</v>
      </c>
      <c r="J429" s="75"/>
      <c r="K429" s="401"/>
      <c r="M429" s="356" t="str">
        <f t="shared" si="76"/>
        <v/>
      </c>
      <c r="O429" s="166"/>
    </row>
    <row r="430" spans="1:15" ht="27.75" thickBot="1">
      <c r="A430" s="336">
        <v>430</v>
      </c>
      <c r="C430" s="989"/>
      <c r="D430" s="989"/>
      <c r="E430" s="989"/>
      <c r="F430" s="380" t="s">
        <v>659</v>
      </c>
      <c r="G430" s="381"/>
      <c r="H430" s="68" t="s">
        <v>722</v>
      </c>
      <c r="I430" s="382" t="str">
        <f t="shared" si="75"/>
        <v>-</v>
      </c>
      <c r="J430" s="75"/>
      <c r="K430" s="383"/>
      <c r="M430" s="356" t="str">
        <f t="shared" si="76"/>
        <v/>
      </c>
      <c r="O430" s="166"/>
    </row>
    <row r="431" spans="1:15" ht="27.75" thickBot="1">
      <c r="A431" s="336">
        <v>431</v>
      </c>
      <c r="C431" s="989"/>
      <c r="D431" s="989"/>
      <c r="E431" s="989"/>
      <c r="F431" s="989" t="s">
        <v>664</v>
      </c>
      <c r="H431" s="429" t="s">
        <v>1110</v>
      </c>
      <c r="I431" s="430" t="str">
        <f t="shared" si="75"/>
        <v>-</v>
      </c>
      <c r="J431" s="75"/>
      <c r="K431" s="401"/>
      <c r="M431" s="356" t="str">
        <f t="shared" si="76"/>
        <v/>
      </c>
      <c r="O431" s="166"/>
    </row>
    <row r="432" spans="1:15" ht="27.75" thickBot="1">
      <c r="A432" s="336">
        <v>432</v>
      </c>
      <c r="C432" s="989"/>
      <c r="D432" s="989"/>
      <c r="E432" s="989"/>
      <c r="F432" s="989"/>
      <c r="H432" s="359" t="s">
        <v>724</v>
      </c>
      <c r="I432" s="360" t="str">
        <f t="shared" si="75"/>
        <v>-</v>
      </c>
      <c r="J432" s="75"/>
      <c r="K432" s="361"/>
      <c r="M432" s="356" t="str">
        <f t="shared" si="76"/>
        <v/>
      </c>
      <c r="O432" s="166"/>
    </row>
    <row r="433" spans="1:21" ht="27.75" thickBot="1">
      <c r="A433" s="336">
        <v>433</v>
      </c>
      <c r="C433" s="989"/>
      <c r="D433" s="989"/>
      <c r="E433" s="362"/>
      <c r="F433" s="380" t="s">
        <v>666</v>
      </c>
      <c r="G433" s="381"/>
      <c r="H433" s="68" t="s">
        <v>725</v>
      </c>
      <c r="I433" s="382" t="str">
        <f t="shared" si="75"/>
        <v>-</v>
      </c>
      <c r="J433" s="75"/>
      <c r="K433" s="383" t="s">
        <v>1111</v>
      </c>
      <c r="M433" s="356" t="str">
        <f t="shared" si="76"/>
        <v/>
      </c>
      <c r="O433" s="166"/>
    </row>
    <row r="434" spans="1:21" ht="14.25" thickBot="1">
      <c r="A434" s="336">
        <v>434</v>
      </c>
      <c r="C434" s="989"/>
      <c r="D434" s="989"/>
      <c r="E434" s="1073" t="s">
        <v>727</v>
      </c>
      <c r="F434" s="1074" t="s">
        <v>728</v>
      </c>
      <c r="G434" s="1075"/>
      <c r="H434" s="1076"/>
      <c r="I434" s="1077"/>
      <c r="J434" s="1076"/>
      <c r="K434" s="1078"/>
      <c r="O434" s="166"/>
    </row>
    <row r="435" spans="1:21" ht="27.75" thickBot="1">
      <c r="A435" s="336">
        <v>435</v>
      </c>
      <c r="C435" s="989"/>
      <c r="D435" s="989"/>
      <c r="E435" s="989"/>
      <c r="F435" s="1079" t="s">
        <v>614</v>
      </c>
      <c r="G435" s="1083"/>
      <c r="H435" s="1081" t="s">
        <v>729</v>
      </c>
      <c r="I435" s="1082" t="str">
        <f>+IF(OR($H$3="地域がん診療病院",$H$4="地域がん診療病院",$H$4="地域がん診療病院(特例型)"),"A","-")</f>
        <v>-</v>
      </c>
      <c r="J435" s="75"/>
      <c r="K435" s="1066"/>
      <c r="M435" s="356" t="str">
        <f t="shared" ref="M435:M436" si="77">+IF(I435="A",IF(ISBLANK(J435),"未入力あり",IF(J435="はい","○","×")),"")</f>
        <v/>
      </c>
      <c r="O435" s="166"/>
    </row>
    <row r="436" spans="1:21" ht="14.25" thickBot="1">
      <c r="A436" s="336">
        <v>436</v>
      </c>
      <c r="C436" s="989"/>
      <c r="D436" s="989"/>
      <c r="E436" s="989"/>
      <c r="F436" s="989"/>
      <c r="G436" s="441"/>
      <c r="H436" s="408" t="s">
        <v>730</v>
      </c>
      <c r="I436" s="409" t="str">
        <f>+IF(OR($H$3="地域がん診療病院",$H$4="地域がん診療病院",$H$4="地域がん診療病院(特例型)"),"A","-")</f>
        <v>-</v>
      </c>
      <c r="J436" s="75"/>
      <c r="K436" s="410"/>
      <c r="M436" s="356" t="str">
        <f t="shared" si="77"/>
        <v/>
      </c>
      <c r="O436" s="166"/>
    </row>
    <row r="437" spans="1:21">
      <c r="A437" s="336">
        <v>437</v>
      </c>
      <c r="C437" s="989"/>
      <c r="D437" s="989"/>
      <c r="E437" s="989"/>
      <c r="F437" s="362"/>
      <c r="G437" s="379"/>
      <c r="H437" s="432" t="s">
        <v>731</v>
      </c>
      <c r="I437" s="433" t="s">
        <v>645</v>
      </c>
      <c r="J437" s="89"/>
      <c r="K437" s="434"/>
      <c r="M437" s="356" t="str">
        <f t="shared" ref="M437" si="78">+IF(AND(OR($H$3="地域がん診療病院",$H$4="地域がん診療病院",$H$4="地域がん診療病院(特例型)"),J437=""),"未入力あり",IF(AND(OR($H$3="地域がん診療病院",$H$4="地域がん診療病院",$H$4="地域がん診療病院(特例型)"),J437&lt;&gt;""),"〇",""))</f>
        <v/>
      </c>
      <c r="O437" s="166"/>
    </row>
    <row r="438" spans="1:21" ht="27.75" thickBot="1">
      <c r="A438" s="336">
        <v>438</v>
      </c>
      <c r="C438" s="989"/>
      <c r="D438" s="989"/>
      <c r="E438" s="989"/>
      <c r="F438" s="1079" t="s">
        <v>732</v>
      </c>
      <c r="G438" s="1080"/>
      <c r="H438" s="1081" t="s">
        <v>1112</v>
      </c>
      <c r="I438" s="1082" t="str">
        <f>+IF(OR($H$3="地域がん診療病院",$H$4="地域がん診療病院",$H$4="地域がん診療病院(特例型)"),"A","-")</f>
        <v>-</v>
      </c>
      <c r="J438" s="75"/>
      <c r="K438" s="1066"/>
      <c r="M438" s="356" t="str">
        <f t="shared" ref="M438" si="79">+IF(I438="A",IF(ISBLANK(J438),"未入力あり",IF(J438="はい","○","×")),"")</f>
        <v/>
      </c>
      <c r="O438" s="166"/>
    </row>
    <row r="439" spans="1:21" ht="14.25" thickBot="1">
      <c r="A439" s="336">
        <v>439</v>
      </c>
      <c r="C439" s="989"/>
      <c r="D439" s="989"/>
      <c r="E439" s="362"/>
      <c r="F439" s="380" t="s">
        <v>734</v>
      </c>
      <c r="G439" s="381"/>
      <c r="H439" s="68" t="s">
        <v>735</v>
      </c>
      <c r="I439" s="400" t="str">
        <f>+IF(OR($H$3="地域がん診療病院",$H$4="地域がん診療病院",$H$4="地域がん診療病院(特例型)"),"C","-")</f>
        <v>-</v>
      </c>
      <c r="J439" s="75"/>
      <c r="K439" s="383"/>
      <c r="M439" s="356" t="str">
        <f>IF(AND(I439="C",J439=""),"未入力あり",IF(AND(I439="C",J439&lt;&gt;""),"〇",IF(I439="-","")))</f>
        <v/>
      </c>
      <c r="O439" s="166"/>
    </row>
    <row r="440" spans="1:21" ht="14.25" thickBot="1">
      <c r="A440" s="336">
        <v>440</v>
      </c>
      <c r="C440" s="989"/>
      <c r="D440" s="989"/>
      <c r="E440" s="1073" t="s">
        <v>736</v>
      </c>
      <c r="F440" s="1074" t="s">
        <v>737</v>
      </c>
      <c r="G440" s="1075"/>
      <c r="H440" s="1076"/>
      <c r="I440" s="1077"/>
      <c r="J440" s="1076"/>
      <c r="K440" s="1078"/>
      <c r="O440" s="166"/>
    </row>
    <row r="441" spans="1:21" ht="27.75" thickBot="1">
      <c r="A441" s="336">
        <v>441</v>
      </c>
      <c r="C441" s="989"/>
      <c r="D441" s="989"/>
      <c r="E441" s="989"/>
      <c r="F441" s="1079" t="s">
        <v>614</v>
      </c>
      <c r="G441" s="1080"/>
      <c r="H441" s="1081" t="s">
        <v>738</v>
      </c>
      <c r="I441" s="1082" t="str">
        <f t="shared" ref="I441:I446" si="80">+IF(OR($H$3="地域がん診療病院",$H$4="地域がん診療病院",$H$4="地域がん診療病院(特例型)"),"A","-")</f>
        <v>-</v>
      </c>
      <c r="J441" s="75"/>
      <c r="K441" s="1066"/>
      <c r="M441" s="356" t="str">
        <f t="shared" ref="M441:M450" si="81">+IF(I441="A",IF(ISBLANK(J441),"未入力あり",IF(J441="はい","○","×")),"")</f>
        <v/>
      </c>
      <c r="O441" s="166"/>
    </row>
    <row r="442" spans="1:21" ht="14.25" thickBot="1">
      <c r="A442" s="336">
        <v>442</v>
      </c>
      <c r="C442" s="989"/>
      <c r="D442" s="989"/>
      <c r="E442" s="989"/>
      <c r="F442" s="380" t="s">
        <v>619</v>
      </c>
      <c r="G442" s="381"/>
      <c r="H442" s="68" t="s">
        <v>739</v>
      </c>
      <c r="I442" s="382" t="str">
        <f t="shared" si="80"/>
        <v>-</v>
      </c>
      <c r="J442" s="75"/>
      <c r="K442" s="383"/>
      <c r="M442" s="356" t="str">
        <f t="shared" si="81"/>
        <v/>
      </c>
      <c r="O442" s="166"/>
    </row>
    <row r="443" spans="1:21" ht="27.75" thickBot="1">
      <c r="A443" s="336">
        <v>443</v>
      </c>
      <c r="C443" s="989"/>
      <c r="D443" s="989"/>
      <c r="E443" s="989"/>
      <c r="F443" s="989" t="s">
        <v>627</v>
      </c>
      <c r="H443" s="364" t="s">
        <v>1113</v>
      </c>
      <c r="I443" s="365" t="str">
        <f t="shared" si="80"/>
        <v>-</v>
      </c>
      <c r="J443" s="75"/>
      <c r="K443" s="366"/>
      <c r="M443" s="356" t="str">
        <f t="shared" si="81"/>
        <v/>
      </c>
      <c r="O443" s="166"/>
    </row>
    <row r="444" spans="1:21" ht="27.75" thickBot="1">
      <c r="A444" s="336">
        <v>444</v>
      </c>
      <c r="C444" s="989"/>
      <c r="D444" s="989"/>
      <c r="E444" s="989"/>
      <c r="F444" s="989"/>
      <c r="H444" s="408" t="s">
        <v>1114</v>
      </c>
      <c r="I444" s="409" t="str">
        <f t="shared" si="80"/>
        <v>-</v>
      </c>
      <c r="J444" s="75"/>
      <c r="K444" s="410"/>
      <c r="M444" s="356" t="str">
        <f t="shared" si="81"/>
        <v/>
      </c>
      <c r="O444" s="166"/>
    </row>
    <row r="445" spans="1:21" ht="14.25" thickBot="1">
      <c r="A445" s="336">
        <v>445</v>
      </c>
      <c r="C445" s="989"/>
      <c r="D445" s="989"/>
      <c r="E445" s="989"/>
      <c r="F445" s="989"/>
      <c r="H445" s="429" t="s">
        <v>1115</v>
      </c>
      <c r="I445" s="430" t="str">
        <f t="shared" si="80"/>
        <v>-</v>
      </c>
      <c r="J445" s="75"/>
      <c r="K445" s="401" t="s">
        <v>743</v>
      </c>
      <c r="M445" s="356" t="str">
        <f t="shared" si="81"/>
        <v/>
      </c>
      <c r="O445" s="166"/>
    </row>
    <row r="446" spans="1:21" ht="68.25" thickBot="1">
      <c r="A446" s="336">
        <v>446</v>
      </c>
      <c r="C446" s="989"/>
      <c r="D446" s="989"/>
      <c r="E446" s="989"/>
      <c r="F446" s="1079" t="s">
        <v>639</v>
      </c>
      <c r="G446" s="1080"/>
      <c r="H446" s="1081" t="s">
        <v>744</v>
      </c>
      <c r="I446" s="1082" t="str">
        <f t="shared" si="80"/>
        <v>-</v>
      </c>
      <c r="J446" s="75"/>
      <c r="K446" s="1066" t="s">
        <v>745</v>
      </c>
      <c r="M446" s="356" t="str">
        <f t="shared" si="81"/>
        <v/>
      </c>
      <c r="O446" s="166"/>
    </row>
    <row r="447" spans="1:21" ht="14.25" thickBot="1">
      <c r="A447" s="336">
        <v>447</v>
      </c>
      <c r="C447" s="989"/>
      <c r="D447" s="989"/>
      <c r="E447" s="989"/>
      <c r="F447" s="362"/>
      <c r="G447" s="358"/>
      <c r="H447" s="359" t="s">
        <v>746</v>
      </c>
      <c r="I447" s="360" t="str">
        <f>+IF(OR($H$3="地域がん診療病院",$H$4="地域がん診療病院",$H$4="地域がん診療病院(特例型)"),"C","-")</f>
        <v>-</v>
      </c>
      <c r="J447" s="75"/>
      <c r="K447" s="361" t="s">
        <v>747</v>
      </c>
      <c r="M447" s="356" t="str">
        <f>IF(AND(I447="C",J447=""),"未入力あり",IF(AND(I447="C",J447&lt;&gt;""),"〇",IF(I447="-","")))</f>
        <v/>
      </c>
      <c r="O447" s="166"/>
    </row>
    <row r="448" spans="1:21" ht="27.75" thickBot="1">
      <c r="A448" s="336">
        <v>448</v>
      </c>
      <c r="C448" s="989"/>
      <c r="D448" s="989"/>
      <c r="E448" s="989"/>
      <c r="F448" s="362"/>
      <c r="G448" s="379"/>
      <c r="H448" s="384" t="s">
        <v>1116</v>
      </c>
      <c r="I448" s="439" t="s">
        <v>649</v>
      </c>
      <c r="J448" s="335"/>
      <c r="K448" s="386"/>
      <c r="M448" s="356" t="str">
        <f t="shared" ref="M448" si="82">+IF(AND(OR($H$3="地域がん診療病院",$H$4="地域がん診療病院",$H$4="地域がん診療病院(特例型)"),J448=""),"未入力あり",IF(AND(OR($H$3="地域がん診療病院",$H$4="地域がん診療病院",$H$4="地域がん診療病院(特例型)"),J448&lt;&gt;""),"〇",""))</f>
        <v/>
      </c>
      <c r="O448" s="166"/>
      <c r="T448" s="375">
        <v>0</v>
      </c>
      <c r="U448" s="376">
        <v>100</v>
      </c>
    </row>
    <row r="449" spans="1:21" ht="14.25" thickBot="1">
      <c r="A449" s="336">
        <v>449</v>
      </c>
      <c r="C449" s="989"/>
      <c r="D449" s="989"/>
      <c r="E449" s="989"/>
      <c r="F449" s="1079" t="s">
        <v>642</v>
      </c>
      <c r="G449" s="1080"/>
      <c r="H449" s="1081" t="s">
        <v>749</v>
      </c>
      <c r="I449" s="1082" t="str">
        <f>+IF(OR($H$3="地域がん診療病院",$H$4="地域がん診療病院",$H$4="地域がん診療病院(特例型)"),"A","-")</f>
        <v>-</v>
      </c>
      <c r="J449" s="75"/>
      <c r="K449" s="1066"/>
      <c r="M449" s="356" t="str">
        <f t="shared" si="81"/>
        <v/>
      </c>
      <c r="O449" s="166"/>
    </row>
    <row r="450" spans="1:21" ht="14.25" thickBot="1">
      <c r="A450" s="336">
        <v>450</v>
      </c>
      <c r="C450" s="989"/>
      <c r="D450" s="989"/>
      <c r="E450" s="989"/>
      <c r="F450" s="989"/>
      <c r="H450" s="459" t="s">
        <v>1117</v>
      </c>
      <c r="I450" s="460" t="str">
        <f>+IF(OR($H$3="地域がん診療病院",$H$4="地域がん診療病院",$H$4="地域がん診療病院(特例型)"),"A","-")</f>
        <v>-</v>
      </c>
      <c r="J450" s="75"/>
      <c r="K450" s="461"/>
      <c r="M450" s="356" t="str">
        <f t="shared" si="81"/>
        <v/>
      </c>
      <c r="O450" s="166"/>
    </row>
    <row r="451" spans="1:21" ht="14.25" thickBot="1">
      <c r="A451" s="336">
        <v>451</v>
      </c>
      <c r="C451" s="989"/>
      <c r="D451" s="989"/>
      <c r="E451" s="989"/>
      <c r="F451" s="989"/>
      <c r="G451" s="441"/>
      <c r="H451" s="393" t="s">
        <v>1118</v>
      </c>
      <c r="I451" s="417" t="s">
        <v>645</v>
      </c>
      <c r="J451" s="75"/>
      <c r="K451" s="395" t="s">
        <v>747</v>
      </c>
      <c r="M451" s="356" t="str">
        <f t="shared" ref="M451" si="83">+IF(AND(OR($H$3="地域がん診療病院",$H$4="地域がん診療病院",$H$4="地域がん診療病院(特例型)"),J451=""),"未入力あり",IF(AND(OR($H$3="地域がん診療病院",$H$4="地域がん診療病院",$H$4="地域がん診療病院(特例型)"),J451&lt;&gt;""),"〇",""))</f>
        <v/>
      </c>
      <c r="O451" s="166"/>
    </row>
    <row r="452" spans="1:21" ht="14.25" thickBot="1">
      <c r="A452" s="336">
        <v>452</v>
      </c>
      <c r="C452" s="989"/>
      <c r="D452" s="362"/>
      <c r="E452" s="362"/>
      <c r="F452" s="362" t="s">
        <v>659</v>
      </c>
      <c r="G452" s="358"/>
      <c r="H452" s="402" t="s">
        <v>1119</v>
      </c>
      <c r="I452" s="403" t="str">
        <f>+IF(OR($H$3="地域がん診療病院",$H$4="地域がん診療病院",$H$4="地域がん診療病院(特例型)"),"B","-")</f>
        <v>-</v>
      </c>
      <c r="J452" s="75"/>
      <c r="K452" s="392"/>
      <c r="M452" s="356" t="str">
        <f>IF(AND(I452="B",J452=""),"未入力あり",IF(AND(I452="B",J452&lt;&gt;""),"〇",IF(I452="-","")))</f>
        <v/>
      </c>
      <c r="O452" s="166"/>
    </row>
    <row r="453" spans="1:21" ht="14.25" thickBot="1">
      <c r="A453" s="336">
        <v>453</v>
      </c>
      <c r="C453" s="989"/>
      <c r="D453" s="1067" t="s">
        <v>754</v>
      </c>
      <c r="E453" s="1068" t="s">
        <v>755</v>
      </c>
      <c r="F453" s="1069"/>
      <c r="G453" s="1069"/>
      <c r="H453" s="1070"/>
      <c r="I453" s="1071"/>
      <c r="J453" s="1070"/>
      <c r="K453" s="1072"/>
      <c r="O453" s="166"/>
    </row>
    <row r="454" spans="1:21" ht="14.25" thickBot="1">
      <c r="A454" s="336">
        <v>454</v>
      </c>
      <c r="C454" s="989"/>
      <c r="D454" s="989"/>
      <c r="E454" s="1073" t="s">
        <v>480</v>
      </c>
      <c r="F454" s="1074" t="s">
        <v>1120</v>
      </c>
      <c r="G454" s="1075"/>
      <c r="H454" s="1076"/>
      <c r="I454" s="1077"/>
      <c r="J454" s="1076"/>
      <c r="K454" s="1078"/>
      <c r="O454" s="166"/>
    </row>
    <row r="455" spans="1:21" ht="14.25" thickBot="1">
      <c r="A455" s="336">
        <v>455</v>
      </c>
      <c r="C455" s="989"/>
      <c r="D455" s="989"/>
      <c r="E455" s="989"/>
      <c r="F455" s="1079" t="s">
        <v>614</v>
      </c>
      <c r="G455" s="1080"/>
      <c r="H455" s="1081" t="s">
        <v>1121</v>
      </c>
      <c r="I455" s="1090" t="str">
        <f>+IF(OR($H$3="地域がん診療病院",$H$4="地域がん診療病院",$H$4="地域がん診療病院(特例型)"),"A","-")</f>
        <v>-</v>
      </c>
      <c r="J455" s="335"/>
      <c r="K455" s="1066" t="s">
        <v>1122</v>
      </c>
      <c r="M455" s="356" t="str">
        <f t="shared" ref="M455:M460" si="84">+IF(I455="A",IF(ISBLANK(J455),"未入力あり",IF(J455&gt;=1,"○","×")),"")</f>
        <v/>
      </c>
      <c r="O455" s="166"/>
      <c r="T455" s="375">
        <v>0</v>
      </c>
      <c r="U455" s="375">
        <v>100</v>
      </c>
    </row>
    <row r="456" spans="1:21" ht="92.25" customHeight="1" thickBot="1">
      <c r="A456" s="336">
        <v>456</v>
      </c>
      <c r="C456" s="989"/>
      <c r="D456" s="989"/>
      <c r="E456" s="989"/>
      <c r="F456" s="1079" t="s">
        <v>619</v>
      </c>
      <c r="G456" s="1080"/>
      <c r="H456" s="1081" t="s">
        <v>1123</v>
      </c>
      <c r="I456" s="1090" t="str">
        <f>+IF(OR($H$3="地域がん診療病院",$H$4="地域がん診療病院",$H$4="地域がん診療病院(特例型)"),IF(ISBLANK($J$380),"A/-",IF($J$380="はい","A","-")),"-")</f>
        <v>-</v>
      </c>
      <c r="J456" s="335"/>
      <c r="K456" s="1066" t="s">
        <v>1124</v>
      </c>
      <c r="M456" s="356" t="str">
        <f t="shared" si="84"/>
        <v/>
      </c>
      <c r="O456" s="166"/>
      <c r="T456" s="375">
        <v>0</v>
      </c>
      <c r="U456" s="375">
        <v>10</v>
      </c>
    </row>
    <row r="457" spans="1:21" ht="83.25" customHeight="1" thickBot="1">
      <c r="A457" s="336">
        <v>457</v>
      </c>
      <c r="C457" s="989"/>
      <c r="D457" s="989"/>
      <c r="E457" s="989"/>
      <c r="F457" s="380" t="s">
        <v>627</v>
      </c>
      <c r="G457" s="381"/>
      <c r="H457" s="68" t="s">
        <v>1125</v>
      </c>
      <c r="I457" s="478" t="str">
        <f>+IF(OR($H$3="地域がん診療病院",$H$4="地域がん診療病院",$H$4="地域がん診療病院(特例型)"),"A","-")</f>
        <v>-</v>
      </c>
      <c r="J457" s="335"/>
      <c r="K457" s="383" t="s">
        <v>1126</v>
      </c>
      <c r="M457" s="356" t="str">
        <f t="shared" si="84"/>
        <v/>
      </c>
      <c r="O457" s="166"/>
      <c r="T457" s="375">
        <v>0</v>
      </c>
      <c r="U457" s="375">
        <v>30</v>
      </c>
    </row>
    <row r="458" spans="1:21" ht="71.25" customHeight="1" thickBot="1">
      <c r="A458" s="336">
        <v>458</v>
      </c>
      <c r="C458" s="989"/>
      <c r="D458" s="989"/>
      <c r="E458" s="989"/>
      <c r="F458" s="989" t="s">
        <v>639</v>
      </c>
      <c r="H458" s="429" t="s">
        <v>765</v>
      </c>
      <c r="I458" s="481" t="str">
        <f>+IF(OR($H$3="地域がん診療病院",$H$4="地域がん診療病院",$H$4="地域がん診療病院(特例型)"),"A","-")</f>
        <v>-</v>
      </c>
      <c r="J458" s="335"/>
      <c r="K458" s="401" t="s">
        <v>1127</v>
      </c>
      <c r="M458" s="356" t="str">
        <f t="shared" si="84"/>
        <v/>
      </c>
      <c r="O458" s="166"/>
      <c r="T458" s="375">
        <v>0</v>
      </c>
      <c r="U458" s="375">
        <v>10</v>
      </c>
    </row>
    <row r="459" spans="1:21" ht="14.25" thickBot="1">
      <c r="A459" s="336">
        <v>459</v>
      </c>
      <c r="C459" s="989"/>
      <c r="D459" s="989"/>
      <c r="E459" s="989"/>
      <c r="F459" s="989"/>
      <c r="H459" s="462" t="s">
        <v>1128</v>
      </c>
      <c r="I459" s="475" t="str">
        <f>+IF(OR($H$3="地域がん診療病院",$H$4="地域がん診療病院",$H$4="地域がん診療病院(特例型)"),"C","-")</f>
        <v>-</v>
      </c>
      <c r="J459" s="335"/>
      <c r="K459" s="420"/>
      <c r="M459" s="356" t="str">
        <f>IF(AND(I459="C",J459=""),"未入力あり",IF(AND(I459="C",J459&lt;&gt;""),"〇",IF(I459="-","")))</f>
        <v/>
      </c>
      <c r="O459" s="166"/>
      <c r="T459" s="375">
        <v>0</v>
      </c>
      <c r="U459" s="375">
        <v>10</v>
      </c>
    </row>
    <row r="460" spans="1:21" ht="14.25" thickBot="1">
      <c r="A460" s="336">
        <v>460</v>
      </c>
      <c r="C460" s="989"/>
      <c r="D460" s="989"/>
      <c r="E460" s="989"/>
      <c r="F460" s="989"/>
      <c r="H460" s="459" t="s">
        <v>1129</v>
      </c>
      <c r="I460" s="483" t="str">
        <f>+IF(OR($H$3="地域がん診療病院",$H$4="地域がん診療病院",$H$4="地域がん診療病院(特例型)"),"A","-")</f>
        <v>-</v>
      </c>
      <c r="J460" s="335"/>
      <c r="K460" s="461" t="s">
        <v>777</v>
      </c>
      <c r="M460" s="356" t="str">
        <f t="shared" si="84"/>
        <v/>
      </c>
      <c r="O460" s="166"/>
      <c r="T460" s="375">
        <v>0</v>
      </c>
      <c r="U460" s="375">
        <v>10</v>
      </c>
    </row>
    <row r="461" spans="1:21" ht="14.25" thickBot="1">
      <c r="A461" s="336">
        <v>461</v>
      </c>
      <c r="C461" s="989"/>
      <c r="D461" s="989"/>
      <c r="E461" s="989"/>
      <c r="F461" s="989"/>
      <c r="H461" s="393" t="s">
        <v>1130</v>
      </c>
      <c r="I461" s="506" t="str">
        <f>+IF(OR($H$3="地域がん診療病院",$H$4="地域がん診療病院",$H$4="地域がん診療病院(特例型)"),"C","-")</f>
        <v>-</v>
      </c>
      <c r="J461" s="335"/>
      <c r="K461" s="395"/>
      <c r="M461" s="356" t="str">
        <f>IF(AND(I461="C",J461=""),"未入力あり",IF(AND(I461="C",J461&lt;&gt;""),"〇",IF(I461="-","")))</f>
        <v/>
      </c>
      <c r="O461" s="166"/>
      <c r="T461" s="375">
        <v>0</v>
      </c>
      <c r="U461" s="375">
        <v>10</v>
      </c>
    </row>
    <row r="462" spans="1:21" ht="14.25" thickBot="1">
      <c r="A462" s="336">
        <v>462</v>
      </c>
      <c r="C462" s="989"/>
      <c r="D462" s="989"/>
      <c r="E462" s="989"/>
      <c r="F462" s="362"/>
      <c r="G462" s="358"/>
      <c r="H462" s="384" t="s">
        <v>1131</v>
      </c>
      <c r="I462" s="507" t="str">
        <f>+IF(OR($H$3="地域がん診療病院",$H$4="地域がん診療病院",$H$4="地域がん診療病院(特例型)"),"C","-")</f>
        <v>-</v>
      </c>
      <c r="J462" s="335"/>
      <c r="K462" s="386"/>
      <c r="M462" s="356" t="str">
        <f>IF(AND(I462="C",J462=""),"未入力あり",IF(AND(I462="C",J462&lt;&gt;""),"〇",IF(I462="-","")))</f>
        <v/>
      </c>
      <c r="O462" s="166"/>
      <c r="T462" s="375">
        <v>0</v>
      </c>
      <c r="U462" s="375">
        <v>10</v>
      </c>
    </row>
    <row r="463" spans="1:21" ht="14.25" thickBot="1">
      <c r="A463" s="336">
        <v>463</v>
      </c>
      <c r="C463" s="989"/>
      <c r="D463" s="989"/>
      <c r="E463" s="989"/>
      <c r="F463" s="362" t="s">
        <v>642</v>
      </c>
      <c r="G463" s="358"/>
      <c r="H463" s="402" t="s">
        <v>1132</v>
      </c>
      <c r="I463" s="476" t="str">
        <f>+IF(OR($H$3="地域がん診療病院",$H$4="地域がん診療病院",$H$4="地域がん診療病院(特例型)"),"C","-")</f>
        <v>-</v>
      </c>
      <c r="J463" s="335"/>
      <c r="K463" s="392"/>
      <c r="M463" s="356" t="str">
        <f>IF(AND(I463="C",J463=""),"未入力あり",IF(AND(I463="C",J463&lt;&gt;""),"〇",IF(I463="-","")))</f>
        <v/>
      </c>
      <c r="O463" s="166"/>
      <c r="T463" s="375">
        <v>0</v>
      </c>
      <c r="U463" s="375">
        <v>10</v>
      </c>
    </row>
    <row r="464" spans="1:21" ht="14.25" thickBot="1">
      <c r="A464" s="336">
        <v>464</v>
      </c>
      <c r="C464" s="989"/>
      <c r="D464" s="989"/>
      <c r="E464" s="508"/>
      <c r="F464" s="362"/>
      <c r="G464" s="358"/>
      <c r="H464" s="402" t="s">
        <v>771</v>
      </c>
      <c r="I464" s="476" t="s">
        <v>645</v>
      </c>
      <c r="J464" s="335"/>
      <c r="K464" s="392"/>
      <c r="M464" s="356" t="str">
        <f t="shared" ref="M464" si="85">+IF(AND(OR($H$3="地域がん診療病院",$H$4="地域がん診療病院",$H$4="地域がん診療病院(特例型)"),J464=""),"未入力あり",IF(AND(OR($H$3="地域がん診療病院",$H$4="地域がん診療病院",$H$4="地域がん診療病院(特例型)"),J464&lt;&gt;""),"〇",""))</f>
        <v/>
      </c>
      <c r="O464" s="166"/>
      <c r="T464" s="375">
        <v>0</v>
      </c>
      <c r="U464" s="376">
        <v>10</v>
      </c>
    </row>
    <row r="465" spans="1:21" ht="14.25" thickBot="1">
      <c r="A465" s="336">
        <v>465</v>
      </c>
      <c r="C465" s="989"/>
      <c r="D465" s="989"/>
      <c r="E465" s="1073" t="s">
        <v>489</v>
      </c>
      <c r="F465" s="1074" t="s">
        <v>1133</v>
      </c>
      <c r="G465" s="1075"/>
      <c r="H465" s="1076"/>
      <c r="I465" s="1077"/>
      <c r="J465" s="1076"/>
      <c r="K465" s="1078"/>
      <c r="O465" s="166"/>
    </row>
    <row r="466" spans="1:21" ht="14.25" thickBot="1">
      <c r="A466" s="336">
        <v>466</v>
      </c>
      <c r="C466" s="989"/>
      <c r="D466" s="989"/>
      <c r="E466" s="989"/>
      <c r="F466" s="1079" t="s">
        <v>614</v>
      </c>
      <c r="G466" s="1080"/>
      <c r="H466" s="1081" t="s">
        <v>1134</v>
      </c>
      <c r="I466" s="1092" t="str">
        <f>+IF(OR($H$3="地域がん診療病院",$H$4="地域がん診療病院",$H$4="地域がん診療病院(特例型)"),IF(ISBLANK($J$380),"A/-",IF($J$380="はい","A","-")),"-")</f>
        <v>-</v>
      </c>
      <c r="J466" s="75"/>
      <c r="K466" s="1066"/>
      <c r="M466" s="356" t="str">
        <f t="shared" ref="M466" si="86">+IF(I466="A",IF(ISBLANK(J466),"未入力あり",IF(J466="はい","○","×")),"")</f>
        <v/>
      </c>
      <c r="O466" s="166"/>
    </row>
    <row r="467" spans="1:21" ht="27.75" thickBot="1">
      <c r="A467" s="336">
        <v>467</v>
      </c>
      <c r="C467" s="989"/>
      <c r="D467" s="989"/>
      <c r="E467" s="989"/>
      <c r="F467" s="989"/>
      <c r="H467" s="393" t="s">
        <v>773</v>
      </c>
      <c r="I467" s="509" t="str">
        <f>+IF(OR($H$3="地域がん診療病院",$H$4="地域がん診療病院",$H$4="地域がん診療病院(特例型)"),IF(ISBLANK($J$380),"A/-",IF($J$380="はい","A","-")),"-")</f>
        <v>-</v>
      </c>
      <c r="J467" s="335"/>
      <c r="K467" s="395" t="s">
        <v>1135</v>
      </c>
      <c r="M467" s="356" t="str">
        <f>+IF(I467="A",IF(ISBLANK(J467),"未入力あり",IF(J467&gt;=2,"○","×")),"")</f>
        <v/>
      </c>
      <c r="O467" s="166"/>
      <c r="T467" s="375">
        <v>0</v>
      </c>
      <c r="U467" s="375">
        <v>10</v>
      </c>
    </row>
    <row r="468" spans="1:21" ht="14.25" thickBot="1">
      <c r="A468" s="336">
        <v>468</v>
      </c>
      <c r="C468" s="989"/>
      <c r="D468" s="989"/>
      <c r="E468" s="989"/>
      <c r="F468" s="989"/>
      <c r="H468" s="462" t="s">
        <v>1136</v>
      </c>
      <c r="I468" s="510" t="str">
        <f>+IF(OR($H$3="地域がん診療病院",$H$4="地域がん診療病院",$H$4="地域がん診療病院(特例型)"),IF(ISBLANK($J$380),"C/-",IF($J$380="はい","C","-")),"-")</f>
        <v>-</v>
      </c>
      <c r="J468" s="335"/>
      <c r="K468" s="420"/>
      <c r="M468" s="356" t="str">
        <f>IF(AND(I468="C",J468=""),"未入力あり",IF(AND(I468="C",J468&lt;&gt;""),"〇",IF(OR(I468="C/-",I468="-"),"")))</f>
        <v/>
      </c>
      <c r="O468" s="166"/>
      <c r="T468" s="375">
        <v>0</v>
      </c>
      <c r="U468" s="375">
        <v>10</v>
      </c>
    </row>
    <row r="469" spans="1:21" ht="14.25" thickBot="1">
      <c r="A469" s="336">
        <v>469</v>
      </c>
      <c r="C469" s="989"/>
      <c r="D469" s="989"/>
      <c r="E469" s="989"/>
      <c r="F469" s="989"/>
      <c r="H469" s="459" t="s">
        <v>1137</v>
      </c>
      <c r="I469" s="511" t="str">
        <f>+IF(OR($H$3="地域がん診療病院",$H$4="地域がん診療病院",$H$4="地域がん診療病院(特例型)"),IF(ISBLANK($J$380),"C/-",IF($J$380="はい","C","-")),"-")</f>
        <v>-</v>
      </c>
      <c r="J469" s="75"/>
      <c r="K469" s="461"/>
      <c r="M469" s="356" t="str">
        <f t="shared" ref="M469:M471" si="87">IF(AND(I469="C",J469=""),"未入力あり",IF(AND(I469="C",J469&lt;&gt;""),"〇",IF(OR(I469="C/-",I469="-"),"")))</f>
        <v/>
      </c>
      <c r="O469" s="166"/>
    </row>
    <row r="470" spans="1:21" ht="27.75" thickBot="1">
      <c r="A470" s="336">
        <v>470</v>
      </c>
      <c r="C470" s="989"/>
      <c r="D470" s="989"/>
      <c r="E470" s="989"/>
      <c r="F470" s="989"/>
      <c r="H470" s="393" t="s">
        <v>1138</v>
      </c>
      <c r="I470" s="509" t="str">
        <f>+IF(OR($H$3="地域がん診療病院",$H$4="地域がん診療病院",$H$4="地域がん診療病院(特例型)"),IF(ISBLANK($J$380),"C/-",IF($J$380="はい","C","-")),"-")</f>
        <v>-</v>
      </c>
      <c r="J470" s="335"/>
      <c r="K470" s="395" t="s">
        <v>1139</v>
      </c>
      <c r="M470" s="356" t="str">
        <f t="shared" si="87"/>
        <v/>
      </c>
      <c r="O470" s="166"/>
      <c r="T470" s="375">
        <v>0</v>
      </c>
      <c r="U470" s="375">
        <v>10</v>
      </c>
    </row>
    <row r="471" spans="1:21" ht="14.25" thickBot="1">
      <c r="A471" s="336">
        <v>471</v>
      </c>
      <c r="C471" s="989"/>
      <c r="D471" s="989"/>
      <c r="E471" s="989"/>
      <c r="F471" s="362"/>
      <c r="G471" s="358"/>
      <c r="H471" s="384" t="s">
        <v>1140</v>
      </c>
      <c r="I471" s="512" t="str">
        <f>+IF(OR($H$3="地域がん診療病院",$H$4="地域がん診療病院",$H$4="地域がん診療病院(特例型)"),IF(ISBLANK($J$380),"C/-",IF($J$380="はい","C","-")),"-")</f>
        <v>-</v>
      </c>
      <c r="J471" s="335"/>
      <c r="K471" s="386"/>
      <c r="M471" s="356" t="str">
        <f t="shared" si="87"/>
        <v/>
      </c>
      <c r="O471" s="166"/>
      <c r="T471" s="375">
        <v>0</v>
      </c>
      <c r="U471" s="375">
        <v>10</v>
      </c>
    </row>
    <row r="472" spans="1:21" ht="27.75" thickBot="1">
      <c r="A472" s="336">
        <v>472</v>
      </c>
      <c r="C472" s="989"/>
      <c r="D472" s="989"/>
      <c r="E472" s="989"/>
      <c r="F472" s="1079" t="s">
        <v>619</v>
      </c>
      <c r="G472" s="1080"/>
      <c r="H472" s="1081" t="s">
        <v>1141</v>
      </c>
      <c r="I472" s="1090" t="str">
        <f>+IF(OR($H$3="地域がん診療病院",$H$4="地域がん診療病院",$H$4="地域がん診療病院(特例型)"),"A","-")</f>
        <v>-</v>
      </c>
      <c r="J472" s="335"/>
      <c r="K472" s="461" t="s">
        <v>777</v>
      </c>
      <c r="M472" s="356" t="str">
        <f t="shared" ref="M472:M476" si="88">+IF(I472="A",IF(ISBLANK(J472),"未入力あり",IF(J472&gt;=1,"○","×")),"")</f>
        <v/>
      </c>
      <c r="O472" s="166"/>
      <c r="T472" s="375">
        <v>0</v>
      </c>
      <c r="U472" s="375">
        <v>10</v>
      </c>
    </row>
    <row r="473" spans="1:21" ht="14.25" thickBot="1">
      <c r="A473" s="336">
        <v>473</v>
      </c>
      <c r="C473" s="989"/>
      <c r="D473" s="989"/>
      <c r="E473" s="989"/>
      <c r="F473" s="989"/>
      <c r="H473" s="393" t="s">
        <v>1142</v>
      </c>
      <c r="I473" s="506" t="str">
        <f>+IF(OR($H$3="地域がん診療病院",$H$4="地域がん診療病院",$H$4="地域がん診療病院(特例型)"),"C","-")</f>
        <v>-</v>
      </c>
      <c r="J473" s="335"/>
      <c r="K473" s="395"/>
      <c r="M473" s="356" t="str">
        <f>IF(AND(I473="C",J473=""),"未入力あり",IF(AND(I473="C",J473&lt;&gt;""),"〇",IF(I473="-","")))</f>
        <v/>
      </c>
      <c r="O473" s="166"/>
      <c r="T473" s="375">
        <v>0</v>
      </c>
      <c r="U473" s="375">
        <v>10</v>
      </c>
    </row>
    <row r="474" spans="1:21" ht="27.75" thickBot="1">
      <c r="A474" s="336">
        <v>474</v>
      </c>
      <c r="C474" s="989"/>
      <c r="D474" s="989"/>
      <c r="E474" s="989"/>
      <c r="F474" s="989"/>
      <c r="H474" s="462" t="s">
        <v>1143</v>
      </c>
      <c r="I474" s="475" t="str">
        <f>+IF(OR($H$3="地域がん診療病院",$H$4="地域がん診療病院",$H$4="地域がん診療病院(特例型)"),"C","-")</f>
        <v>-</v>
      </c>
      <c r="J474" s="335"/>
      <c r="K474" s="420"/>
      <c r="M474" s="356" t="str">
        <f>IF(AND(I474="C",J474=""),"未入力あり",IF(AND(I474="C",J474&lt;&gt;""),"〇",IF(I474="-","")))</f>
        <v/>
      </c>
      <c r="O474" s="166"/>
      <c r="T474" s="375">
        <v>0</v>
      </c>
      <c r="U474" s="375">
        <v>10</v>
      </c>
    </row>
    <row r="475" spans="1:21" ht="14.25" thickBot="1">
      <c r="A475" s="336">
        <v>475</v>
      </c>
      <c r="C475" s="989"/>
      <c r="D475" s="989"/>
      <c r="E475" s="989"/>
      <c r="F475" s="989"/>
      <c r="H475" s="429" t="s">
        <v>781</v>
      </c>
      <c r="I475" s="481" t="str">
        <f>+IF(OR($H$3="地域がん診療病院",$H$4="地域がん診療病院",$H$4="地域がん診療病院(特例型)"),"C","-")</f>
        <v>-</v>
      </c>
      <c r="J475" s="335"/>
      <c r="K475" s="401"/>
      <c r="M475" s="356" t="str">
        <f>IF(AND(I475="C",J475=""),"未入力あり",IF(AND(I475="C",J475&lt;&gt;""),"〇",IF(I475="-","")))</f>
        <v/>
      </c>
      <c r="O475" s="166"/>
      <c r="T475" s="375">
        <v>0</v>
      </c>
      <c r="U475" s="375">
        <v>10</v>
      </c>
    </row>
    <row r="476" spans="1:21" ht="27.75" thickBot="1">
      <c r="A476" s="336">
        <v>476</v>
      </c>
      <c r="C476" s="989"/>
      <c r="D476" s="989"/>
      <c r="E476" s="989"/>
      <c r="F476" s="1079" t="s">
        <v>627</v>
      </c>
      <c r="G476" s="1080"/>
      <c r="H476" s="1081" t="s">
        <v>1144</v>
      </c>
      <c r="I476" s="1082" t="str">
        <f>+IF(OR($H$3="地域がん診療病院",$H$4="地域がん診療病院",$H$4="地域がん診療病院(特例型)"),"A","-")</f>
        <v>-</v>
      </c>
      <c r="J476" s="335"/>
      <c r="K476" s="461" t="s">
        <v>777</v>
      </c>
      <c r="M476" s="356" t="str">
        <f t="shared" si="88"/>
        <v/>
      </c>
      <c r="O476" s="166"/>
      <c r="T476" s="375">
        <v>0</v>
      </c>
      <c r="U476" s="375">
        <v>10</v>
      </c>
    </row>
    <row r="477" spans="1:21" ht="14.25" thickBot="1">
      <c r="A477" s="336">
        <v>477</v>
      </c>
      <c r="C477" s="989"/>
      <c r="D477" s="989"/>
      <c r="E477" s="989"/>
      <c r="F477" s="362"/>
      <c r="G477" s="358"/>
      <c r="H477" s="443" t="s">
        <v>1145</v>
      </c>
      <c r="I477" s="360" t="str">
        <f>+IF(OR($H$3="地域がん診療病院",$H$4="地域がん診療病院",$H$4="地域がん診療病院(特例型)"),"C","-")</f>
        <v>-</v>
      </c>
      <c r="J477" s="335"/>
      <c r="K477" s="361"/>
      <c r="M477" s="356" t="str">
        <f>IF(AND(I477="C",J477=""),"未入力あり",IF(AND(I477="C",J477&lt;&gt;""),"〇",IF(I477="-","")))</f>
        <v/>
      </c>
      <c r="O477" s="166"/>
      <c r="T477" s="375">
        <v>0</v>
      </c>
      <c r="U477" s="375">
        <v>10</v>
      </c>
    </row>
    <row r="478" spans="1:21" ht="27.75" thickBot="1">
      <c r="A478" s="336">
        <v>478</v>
      </c>
      <c r="C478" s="989"/>
      <c r="D478" s="989"/>
      <c r="E478" s="989"/>
      <c r="F478" s="1079" t="s">
        <v>639</v>
      </c>
      <c r="G478" s="1083"/>
      <c r="H478" s="1081" t="s">
        <v>1146</v>
      </c>
      <c r="I478" s="1082" t="str">
        <f>+IF(OR($H$3="地域がん診療病院",$H$4="地域がん診療病院",$H$4="地域がん診療病院(特例型)"),"C","-")</f>
        <v>-</v>
      </c>
      <c r="J478" s="75"/>
      <c r="K478" s="1066"/>
      <c r="M478" s="356" t="str">
        <f>IF(AND(I478="C",J478=""),"未入力あり",IF(AND(I478="C",J478&lt;&gt;""),"〇",IF(I478="-","")))</f>
        <v/>
      </c>
      <c r="O478" s="168"/>
      <c r="P478"/>
      <c r="Q478"/>
      <c r="R478"/>
      <c r="S478"/>
      <c r="T478"/>
      <c r="U478"/>
    </row>
    <row r="479" spans="1:21" ht="14.25" thickBot="1">
      <c r="A479" s="336">
        <v>479</v>
      </c>
      <c r="C479" s="989"/>
      <c r="D479" s="989"/>
      <c r="E479" s="989"/>
      <c r="F479" s="989"/>
      <c r="H479" s="482" t="s">
        <v>1147</v>
      </c>
      <c r="I479" s="460" t="str">
        <f>+IF(OR($H$3="地域がん診療病院",$H$4="地域がん診療病院",$H$4="地域がん診療病院(特例型)"),"C","-")</f>
        <v>-</v>
      </c>
      <c r="J479" s="335"/>
      <c r="K479" s="461"/>
      <c r="M479" s="356" t="str">
        <f>IF(AND(I479="C",J479=""),"未入力あり",IF(AND(I479="C",J479&lt;&gt;""),"〇",IF(I479="-","")))</f>
        <v/>
      </c>
      <c r="O479" s="166"/>
      <c r="T479" s="375">
        <v>0</v>
      </c>
      <c r="U479" s="375">
        <v>10</v>
      </c>
    </row>
    <row r="480" spans="1:21" ht="14.25" thickBot="1">
      <c r="A480" s="336">
        <v>480</v>
      </c>
      <c r="C480" s="989"/>
      <c r="D480" s="989"/>
      <c r="E480" s="989"/>
      <c r="F480" s="989"/>
      <c r="H480" s="393" t="s">
        <v>1148</v>
      </c>
      <c r="I480" s="396" t="str">
        <f>+IF(OR($H$3="地域がん診療病院",$H$4="地域がん診療病院",$H$4="地域がん診療病院(特例型)"),"C","-")</f>
        <v>-</v>
      </c>
      <c r="J480" s="335"/>
      <c r="K480" s="395"/>
      <c r="M480" s="356" t="str">
        <f>IF(AND(I480="C",J480=""),"未入力あり",IF(AND(I480="C",J480&lt;&gt;""),"〇",IF(I480="-","")))</f>
        <v/>
      </c>
      <c r="O480" s="166"/>
      <c r="T480" s="375">
        <v>0</v>
      </c>
      <c r="U480" s="375">
        <v>10</v>
      </c>
    </row>
    <row r="481" spans="1:21" ht="14.25" thickBot="1">
      <c r="A481" s="336">
        <v>481</v>
      </c>
      <c r="C481" s="989"/>
      <c r="D481" s="989"/>
      <c r="E481" s="989"/>
      <c r="F481" s="362"/>
      <c r="G481" s="358"/>
      <c r="H481" s="384" t="s">
        <v>1149</v>
      </c>
      <c r="I481" s="385" t="str">
        <f>+IF(OR($H$3="地域がん診療病院",$H$4="地域がん診療病院",$H$4="地域がん診療病院(特例型)"),"C","-")</f>
        <v>-</v>
      </c>
      <c r="J481" s="335"/>
      <c r="K481" s="386"/>
      <c r="M481" s="356" t="str">
        <f>IF(AND(I481="C",J481=""),"未入力あり",IF(AND(I481="C",J481&lt;&gt;""),"〇",IF(I481="-","")))</f>
        <v/>
      </c>
      <c r="O481" s="166"/>
      <c r="T481" s="375">
        <v>0</v>
      </c>
      <c r="U481" s="375">
        <v>10</v>
      </c>
    </row>
    <row r="482" spans="1:21" ht="14.25" thickBot="1">
      <c r="A482" s="336">
        <v>482</v>
      </c>
      <c r="C482" s="989"/>
      <c r="D482" s="989"/>
      <c r="E482" s="513"/>
      <c r="F482" s="989" t="s">
        <v>642</v>
      </c>
      <c r="H482" s="364" t="s">
        <v>1150</v>
      </c>
      <c r="I482" s="365" t="str">
        <f>+IF(OR($H$3="地域がん診療病院",$H$4="地域がん診療病院",$H$4="地域がん診療病院(特例型)"),"A","-")</f>
        <v>-</v>
      </c>
      <c r="J482" s="335"/>
      <c r="K482" s="366"/>
      <c r="M482" s="356" t="str">
        <f t="shared" ref="M482" si="89">+IF(I482="A",IF(ISBLANK(J482),"未入力あり",IF(J482&gt;=1,"○","×")),"")</f>
        <v/>
      </c>
      <c r="O482" s="166"/>
      <c r="T482" s="375">
        <v>0</v>
      </c>
      <c r="U482" s="375">
        <v>10</v>
      </c>
    </row>
    <row r="483" spans="1:21" ht="14.25" thickBot="1">
      <c r="A483" s="336">
        <v>483</v>
      </c>
      <c r="C483" s="989"/>
      <c r="D483" s="989"/>
      <c r="E483" s="513"/>
      <c r="F483" s="362"/>
      <c r="G483" s="358"/>
      <c r="H483" s="390" t="s">
        <v>1151</v>
      </c>
      <c r="I483" s="403" t="str">
        <f>+IF(OR($H$3="地域がん診療病院",$H$4="地域がん診療病院",$H$4="地域がん診療病院(特例型)"),"C","-")</f>
        <v>-</v>
      </c>
      <c r="J483" s="335"/>
      <c r="K483" s="392"/>
      <c r="M483" s="356" t="str">
        <f>IF(AND(I483="C",J483=""),"未入力あり",IF(AND(I483="C",J483&lt;&gt;""),"〇",IF(I483="-","")))</f>
        <v/>
      </c>
      <c r="O483" s="166"/>
      <c r="T483" s="375">
        <v>0</v>
      </c>
      <c r="U483" s="375">
        <v>10</v>
      </c>
    </row>
    <row r="484" spans="1:21" ht="14.25" thickBot="1">
      <c r="A484" s="336">
        <v>484</v>
      </c>
      <c r="C484" s="989"/>
      <c r="D484" s="989"/>
      <c r="E484" s="513"/>
      <c r="F484" s="989"/>
      <c r="H484" s="429" t="s">
        <v>1152</v>
      </c>
      <c r="I484" s="430" t="s">
        <v>645</v>
      </c>
      <c r="J484" s="335"/>
      <c r="K484" s="401"/>
      <c r="M484" s="356" t="str">
        <f t="shared" ref="M484:M487" si="90">+IF(AND(OR($H$3="地域がん診療病院",$H$4="地域がん診療病院",$H$4="地域がん診療病院(特例型)"),J484=""),"未入力あり",IF(AND(OR($H$3="地域がん診療病院",$H$4="地域がん診療病院",$H$4="地域がん診療病院(特例型)"),J484&lt;&gt;""),"〇",""))</f>
        <v/>
      </c>
      <c r="O484" s="166"/>
      <c r="T484" s="375">
        <v>0</v>
      </c>
      <c r="U484" s="376">
        <v>30</v>
      </c>
    </row>
    <row r="485" spans="1:21" ht="14.25" thickBot="1">
      <c r="A485" s="336">
        <v>485</v>
      </c>
      <c r="C485" s="989"/>
      <c r="D485" s="989"/>
      <c r="E485" s="513"/>
      <c r="F485" s="989"/>
      <c r="H485" s="444" t="s">
        <v>797</v>
      </c>
      <c r="I485" s="437" t="s">
        <v>645</v>
      </c>
      <c r="J485" s="335"/>
      <c r="K485" s="438"/>
      <c r="M485" s="356" t="str">
        <f t="shared" si="90"/>
        <v/>
      </c>
      <c r="O485" s="166"/>
      <c r="T485" s="375">
        <v>0</v>
      </c>
      <c r="U485" s="376">
        <v>10</v>
      </c>
    </row>
    <row r="486" spans="1:21" ht="14.25" thickBot="1">
      <c r="A486" s="336">
        <v>486</v>
      </c>
      <c r="C486" s="989"/>
      <c r="D486" s="989"/>
      <c r="E486" s="989"/>
      <c r="F486" s="989"/>
      <c r="H486" s="449" t="s">
        <v>798</v>
      </c>
      <c r="I486" s="431" t="s">
        <v>645</v>
      </c>
      <c r="J486" s="335"/>
      <c r="K486" s="410"/>
      <c r="M486" s="356" t="str">
        <f t="shared" si="90"/>
        <v/>
      </c>
      <c r="O486" s="166"/>
      <c r="T486" s="375">
        <v>0</v>
      </c>
      <c r="U486" s="376">
        <v>10</v>
      </c>
    </row>
    <row r="487" spans="1:21" ht="14.25" thickBot="1">
      <c r="A487" s="336">
        <v>487</v>
      </c>
      <c r="C487" s="989"/>
      <c r="D487" s="362"/>
      <c r="E487" s="362"/>
      <c r="F487" s="362"/>
      <c r="G487" s="358"/>
      <c r="H487" s="443" t="s">
        <v>799</v>
      </c>
      <c r="I487" s="363" t="s">
        <v>645</v>
      </c>
      <c r="J487" s="335"/>
      <c r="K487" s="361"/>
      <c r="M487" s="356" t="str">
        <f t="shared" si="90"/>
        <v/>
      </c>
      <c r="O487" s="166"/>
      <c r="T487" s="375">
        <v>0</v>
      </c>
      <c r="U487" s="376">
        <v>10</v>
      </c>
    </row>
    <row r="488" spans="1:21" ht="14.25" thickBot="1">
      <c r="A488" s="336">
        <v>488</v>
      </c>
      <c r="C488" s="989"/>
      <c r="D488" s="1067" t="s">
        <v>800</v>
      </c>
      <c r="E488" s="1068" t="s">
        <v>801</v>
      </c>
      <c r="F488" s="1069"/>
      <c r="G488" s="1069"/>
      <c r="H488" s="1070"/>
      <c r="I488" s="514"/>
      <c r="J488" s="515"/>
      <c r="K488" s="516"/>
      <c r="O488" s="166"/>
    </row>
    <row r="489" spans="1:21" ht="14.25" thickBot="1">
      <c r="A489" s="336">
        <v>489</v>
      </c>
      <c r="C489" s="989"/>
      <c r="D489" s="1005"/>
      <c r="E489" s="517"/>
      <c r="F489" s="358"/>
      <c r="G489" s="379"/>
      <c r="H489" s="1081" t="s">
        <v>1153</v>
      </c>
      <c r="I489" s="518"/>
      <c r="J489" s="519"/>
      <c r="K489" s="520"/>
      <c r="O489" s="166"/>
    </row>
    <row r="490" spans="1:21" ht="14.25" thickBot="1">
      <c r="A490" s="336">
        <v>490</v>
      </c>
      <c r="C490" s="989"/>
      <c r="D490" s="989"/>
      <c r="E490" s="1073" t="s">
        <v>802</v>
      </c>
      <c r="F490" s="1075"/>
      <c r="G490" s="1075"/>
      <c r="H490" s="1081" t="s">
        <v>803</v>
      </c>
      <c r="I490" s="1082" t="str">
        <f>+IF(OR($H$3="地域がん診療病院",$H$4="地域がん診療病院",$H$4="地域がん診療病院(特例型)"),"C","-")</f>
        <v>-</v>
      </c>
      <c r="J490" s="75"/>
      <c r="K490" s="1066" t="s">
        <v>1154</v>
      </c>
      <c r="M490" s="356" t="str">
        <f>IF(AND(I490="C",J490=""),"未入力あり",IF(AND(I490="C",J490&lt;&gt;""),"〇",IF(I490="-","")))</f>
        <v/>
      </c>
      <c r="O490" s="166"/>
    </row>
    <row r="491" spans="1:21" ht="27.75" thickBot="1">
      <c r="A491" s="336">
        <v>491</v>
      </c>
      <c r="C491" s="989"/>
      <c r="D491" s="989"/>
      <c r="E491" s="1073" t="s">
        <v>805</v>
      </c>
      <c r="F491" s="1075"/>
      <c r="G491" s="1075"/>
      <c r="H491" s="1081" t="s">
        <v>806</v>
      </c>
      <c r="I491" s="1082" t="str">
        <f>+IF(OR($H$3="地域がん診療病院",$H$4="地域がん診療病院",$H$4="地域がん診療病院(特例型)"),"A","-")</f>
        <v>-</v>
      </c>
      <c r="J491" s="75"/>
      <c r="K491" s="1066"/>
      <c r="M491" s="356" t="str">
        <f t="shared" ref="M491:M495" si="91">+IF(I491="A",IF(ISBLANK(J491),"未入力あり",IF(J491="はい","○","×")),"")</f>
        <v/>
      </c>
      <c r="O491" s="166"/>
    </row>
    <row r="492" spans="1:21" ht="14.25" thickBot="1">
      <c r="A492" s="336">
        <v>492</v>
      </c>
      <c r="C492" s="989"/>
      <c r="D492" s="989"/>
      <c r="E492" s="990"/>
      <c r="F492" s="450"/>
      <c r="G492" s="450"/>
      <c r="H492" s="359" t="s">
        <v>807</v>
      </c>
      <c r="I492" s="360" t="str">
        <f>+IF(OR($H$3="地域がん診療病院",$H$4="地域がん診療病院",$H$4="地域がん診療病院(特例型)"),"C","-")</f>
        <v>-</v>
      </c>
      <c r="J492" s="75"/>
      <c r="K492" s="361"/>
      <c r="M492" s="356" t="str">
        <f>IF(AND(I492="C",J492=""),"未入力あり",IF(AND(I492="C",J492&lt;&gt;""),"〇",IF(I492="-","")))</f>
        <v/>
      </c>
      <c r="O492" s="166"/>
    </row>
    <row r="493" spans="1:21" ht="27.75" thickBot="1">
      <c r="A493" s="336">
        <v>493</v>
      </c>
      <c r="C493" s="989"/>
      <c r="D493" s="989"/>
      <c r="E493" s="451" t="s">
        <v>808</v>
      </c>
      <c r="F493" s="452"/>
      <c r="G493" s="452"/>
      <c r="H493" s="68" t="s">
        <v>1155</v>
      </c>
      <c r="I493" s="382" t="str">
        <f>+IF(OR($H$3="地域がん診療病院",$H$4="地域がん診療病院",$H$4="地域がん診療病院(特例型)"),"A","-")</f>
        <v>-</v>
      </c>
      <c r="J493" s="75"/>
      <c r="K493" s="383"/>
      <c r="M493" s="356" t="str">
        <f t="shared" si="91"/>
        <v/>
      </c>
      <c r="O493" s="166"/>
    </row>
    <row r="494" spans="1:21" ht="14.25" thickBot="1">
      <c r="A494" s="336">
        <v>494</v>
      </c>
      <c r="C494" s="989"/>
      <c r="D494" s="989"/>
      <c r="E494" s="990" t="s">
        <v>810</v>
      </c>
      <c r="F494" s="450"/>
      <c r="G494" s="450"/>
      <c r="H494" s="429" t="s">
        <v>1156</v>
      </c>
      <c r="I494" s="430" t="str">
        <f>+IF(OR($H$3="地域がん診療病院",$H$4="地域がん診療病院",$H$4="地域がん診療病院(特例型)"),"A","-")</f>
        <v>-</v>
      </c>
      <c r="J494" s="75"/>
      <c r="K494" s="401" t="s">
        <v>812</v>
      </c>
      <c r="M494" s="356" t="str">
        <f t="shared" si="91"/>
        <v/>
      </c>
      <c r="O494" s="166"/>
    </row>
    <row r="495" spans="1:21" ht="14.25" thickBot="1">
      <c r="A495" s="336">
        <v>495</v>
      </c>
      <c r="C495" s="989"/>
      <c r="D495" s="989"/>
      <c r="E495" s="990"/>
      <c r="F495" s="450"/>
      <c r="G495" s="450"/>
      <c r="H495" s="408" t="s">
        <v>813</v>
      </c>
      <c r="I495" s="409" t="str">
        <f>+IF(OR($H$3="地域がん診療病院",$H$4="地域がん診療病院",$H$4="地域がん診療病院(特例型)"),"A","-")</f>
        <v>-</v>
      </c>
      <c r="J495" s="75"/>
      <c r="K495" s="410"/>
      <c r="M495" s="356" t="str">
        <f t="shared" si="91"/>
        <v/>
      </c>
      <c r="O495" s="166"/>
    </row>
    <row r="496" spans="1:21" ht="14.25" thickBot="1">
      <c r="A496" s="336">
        <v>496</v>
      </c>
      <c r="C496" s="989"/>
      <c r="D496" s="989"/>
      <c r="E496" s="990"/>
      <c r="F496" s="450"/>
      <c r="G496" s="450"/>
      <c r="H496" s="449" t="s">
        <v>814</v>
      </c>
      <c r="I496" s="409" t="s">
        <v>645</v>
      </c>
      <c r="J496" s="75"/>
      <c r="K496" s="410"/>
      <c r="M496" s="356" t="str">
        <f t="shared" ref="M496:M498" si="92">+IF(AND(OR($H$3="地域がん診療病院",$H$4="地域がん診療病院",$H$4="地域がん診療病院(特例型)"),J496=""),"未入力あり",IF(AND(OR($H$3="地域がん診療病院",$H$4="地域がん診療病院",$H$4="地域がん診療病院(特例型)"),J496&lt;&gt;""),"〇",""))</f>
        <v/>
      </c>
      <c r="O496" s="166"/>
    </row>
    <row r="497" spans="1:21" ht="14.25" thickBot="1">
      <c r="A497" s="336">
        <v>497</v>
      </c>
      <c r="C497" s="989"/>
      <c r="D497" s="989"/>
      <c r="E497" s="990"/>
      <c r="F497" s="450"/>
      <c r="G497" s="450"/>
      <c r="H497" s="449" t="s">
        <v>815</v>
      </c>
      <c r="I497" s="409" t="s">
        <v>645</v>
      </c>
      <c r="J497" s="75"/>
      <c r="K497" s="410"/>
      <c r="M497" s="356" t="str">
        <f t="shared" si="92"/>
        <v/>
      </c>
      <c r="O497" s="166"/>
    </row>
    <row r="498" spans="1:21" ht="27.75" thickBot="1">
      <c r="A498" s="336">
        <v>498</v>
      </c>
      <c r="C498" s="989"/>
      <c r="D498" s="989"/>
      <c r="E498" s="990"/>
      <c r="F498" s="450"/>
      <c r="G498" s="450"/>
      <c r="H498" s="429" t="s">
        <v>816</v>
      </c>
      <c r="I498" s="430" t="str">
        <f>+IF(OR(AND($H$3&lt;&gt;"地域がん診療病院",OR($H$4&lt;&gt;"地域がん診療病院",$H$4&lt;&gt;"地域がん診療病院(特例型)",$H$4&lt;&gt;"新規指定推薦")),AND(J496="はい",J497="はい")),"-","A")</f>
        <v>-</v>
      </c>
      <c r="J498" s="75"/>
      <c r="K498" s="453" t="s">
        <v>817</v>
      </c>
      <c r="M498" s="356" t="str">
        <f t="shared" si="92"/>
        <v/>
      </c>
      <c r="O498" s="166"/>
    </row>
    <row r="499" spans="1:21" ht="14.25" thickBot="1">
      <c r="A499" s="336">
        <v>499</v>
      </c>
      <c r="C499" s="1058" t="s">
        <v>818</v>
      </c>
      <c r="D499" s="1059" t="s">
        <v>1157</v>
      </c>
      <c r="E499" s="1060"/>
      <c r="F499" s="1060"/>
      <c r="G499" s="1060"/>
      <c r="H499" s="1061"/>
      <c r="I499" s="1062"/>
      <c r="J499" s="1061"/>
      <c r="K499" s="1063"/>
      <c r="O499" s="166"/>
    </row>
    <row r="500" spans="1:21" ht="14.25" thickBot="1">
      <c r="A500" s="336">
        <v>500</v>
      </c>
      <c r="C500" s="989"/>
      <c r="H500" s="1081" t="s">
        <v>1158</v>
      </c>
      <c r="I500" s="1082" t="str">
        <f>+IF(OR($H$3="地域がん診療病院",$H$4="地域がん診療病院",$H$4="地域がん診療病院(特例型)"),"A","-")</f>
        <v>-</v>
      </c>
      <c r="J500" s="75"/>
      <c r="K500" s="1066"/>
      <c r="M500" s="356" t="str">
        <f t="shared" ref="M500" si="93">+IF(I500="A",IF(ISBLANK(J500),"未入力あり",IF(J500="はい","○","×")),"")</f>
        <v/>
      </c>
      <c r="O500" s="166"/>
    </row>
    <row r="501" spans="1:21" ht="14.25" thickBot="1">
      <c r="A501" s="336">
        <v>501</v>
      </c>
      <c r="C501" s="989"/>
      <c r="H501" s="443" t="s">
        <v>1159</v>
      </c>
      <c r="I501" s="360" t="s">
        <v>645</v>
      </c>
      <c r="J501" s="527"/>
      <c r="K501" s="361" t="s">
        <v>840</v>
      </c>
      <c r="M501" s="356" t="str">
        <f t="shared" ref="M501:M507" si="94">+IF(AND(OR($H$3="地域がん診療病院",$H$4="地域がん診療病院",$H$4="地域がん診療病院(特例型)"),J501=""),"未入力あり",IF(AND(OR($H$3="地域がん診療病院",$H$4="地域がん診療病院",$H$4="地域がん診療病院(特例型)"),J501&lt;&gt;""),"〇",""))</f>
        <v/>
      </c>
      <c r="O501" s="166"/>
      <c r="T501" s="375">
        <v>0</v>
      </c>
      <c r="U501" s="375">
        <v>100</v>
      </c>
    </row>
    <row r="502" spans="1:21" ht="27">
      <c r="A502" s="336">
        <v>502</v>
      </c>
      <c r="C502" s="989"/>
      <c r="H502" s="1066" t="s">
        <v>1160</v>
      </c>
      <c r="I502" s="382" t="s">
        <v>645</v>
      </c>
      <c r="J502" s="335"/>
      <c r="K502" s="383" t="s">
        <v>827</v>
      </c>
      <c r="M502" s="356" t="str">
        <f t="shared" si="94"/>
        <v/>
      </c>
      <c r="O502" s="166"/>
      <c r="T502" s="375">
        <v>0</v>
      </c>
      <c r="U502" s="375">
        <v>1200</v>
      </c>
    </row>
    <row r="503" spans="1:21" ht="40.5">
      <c r="A503" s="336">
        <v>503</v>
      </c>
      <c r="C503" s="989"/>
      <c r="H503" s="1066" t="s">
        <v>1161</v>
      </c>
      <c r="I503" s="382" t="s">
        <v>645</v>
      </c>
      <c r="J503" s="335"/>
      <c r="K503" s="383" t="s">
        <v>1162</v>
      </c>
      <c r="M503" s="356" t="str">
        <f t="shared" si="94"/>
        <v/>
      </c>
      <c r="O503" s="166"/>
      <c r="T503" s="375">
        <v>0</v>
      </c>
      <c r="U503" s="375">
        <v>820</v>
      </c>
    </row>
    <row r="504" spans="1:21" ht="40.5">
      <c r="A504" s="336">
        <v>504</v>
      </c>
      <c r="C504" s="989"/>
      <c r="H504" s="1066" t="s">
        <v>1163</v>
      </c>
      <c r="I504" s="1082" t="s">
        <v>645</v>
      </c>
      <c r="J504" s="528"/>
      <c r="K504" s="1066" t="s">
        <v>1164</v>
      </c>
      <c r="M504" s="356" t="str">
        <f t="shared" si="94"/>
        <v/>
      </c>
      <c r="O504" s="166"/>
      <c r="T504" s="375">
        <v>0</v>
      </c>
      <c r="U504" s="375">
        <v>2300</v>
      </c>
    </row>
    <row r="505" spans="1:21" ht="36" customHeight="1" thickBot="1">
      <c r="A505" s="336">
        <v>505</v>
      </c>
      <c r="C505" s="989"/>
      <c r="H505" s="399" t="s">
        <v>1165</v>
      </c>
      <c r="I505" s="385" t="s">
        <v>645</v>
      </c>
      <c r="J505" s="529"/>
      <c r="K505" s="386"/>
      <c r="M505" s="356" t="str">
        <f>+IF(AND(OR($H$3="地域がん診療病院",$H$4="地域がん診療病院",$H$4="地域がん診療病院(特例型)"),J505=""),"未入力あり",IF(AND(OR($H$3="地域がん診療病院",$H$4="地域がん診療病院",$H$4="地域がん診療病院(特例型)"),J505&lt;&gt;""),"",""))</f>
        <v/>
      </c>
      <c r="O505" s="166"/>
      <c r="T505" s="375">
        <v>0</v>
      </c>
      <c r="U505" s="376">
        <v>2000</v>
      </c>
    </row>
    <row r="506" spans="1:21" ht="40.5">
      <c r="A506" s="336">
        <v>506</v>
      </c>
      <c r="C506" s="989"/>
      <c r="H506" s="1066" t="s">
        <v>1166</v>
      </c>
      <c r="I506" s="382" t="s">
        <v>645</v>
      </c>
      <c r="J506" s="335"/>
      <c r="K506" s="383" t="s">
        <v>1167</v>
      </c>
      <c r="M506" s="356" t="str">
        <f t="shared" si="94"/>
        <v/>
      </c>
      <c r="O506" s="166"/>
      <c r="T506" s="375">
        <v>0</v>
      </c>
      <c r="U506" s="375">
        <v>630</v>
      </c>
    </row>
    <row r="507" spans="1:21" ht="44.25" customHeight="1">
      <c r="A507" s="336">
        <v>507</v>
      </c>
      <c r="C507" s="989"/>
      <c r="H507" s="1066" t="s">
        <v>1168</v>
      </c>
      <c r="I507" s="382" t="s">
        <v>645</v>
      </c>
      <c r="J507" s="335"/>
      <c r="K507" s="383" t="s">
        <v>1169</v>
      </c>
      <c r="M507" s="356" t="str">
        <f t="shared" si="94"/>
        <v/>
      </c>
      <c r="O507" s="166"/>
      <c r="T507" s="375">
        <v>0</v>
      </c>
      <c r="U507" s="375">
        <v>250</v>
      </c>
    </row>
    <row r="508" spans="1:21" ht="14.25" thickBot="1">
      <c r="A508" s="336">
        <v>508</v>
      </c>
      <c r="C508" s="1058" t="s">
        <v>851</v>
      </c>
      <c r="D508" s="1059" t="s">
        <v>852</v>
      </c>
      <c r="E508" s="1060"/>
      <c r="F508" s="1060"/>
      <c r="G508" s="1060"/>
      <c r="H508" s="1061"/>
      <c r="I508" s="1062"/>
      <c r="J508" s="1061"/>
      <c r="K508" s="1063"/>
      <c r="O508" s="166"/>
    </row>
    <row r="509" spans="1:21" ht="14.25" thickBot="1">
      <c r="A509" s="336">
        <v>509</v>
      </c>
      <c r="C509" s="989"/>
      <c r="D509" s="358"/>
      <c r="E509" s="358"/>
      <c r="F509" s="358"/>
      <c r="G509" s="358"/>
      <c r="H509" s="68" t="s">
        <v>1170</v>
      </c>
      <c r="I509" s="382"/>
      <c r="J509" s="68"/>
      <c r="K509" s="383"/>
      <c r="O509" s="166"/>
    </row>
    <row r="510" spans="1:21" ht="14.25" thickBot="1">
      <c r="A510" s="336">
        <v>510</v>
      </c>
      <c r="C510" s="513"/>
      <c r="D510" s="1089" t="s">
        <v>853</v>
      </c>
      <c r="E510" s="1069"/>
      <c r="F510" s="1069"/>
      <c r="G510" s="1069"/>
      <c r="H510" s="1081" t="s">
        <v>854</v>
      </c>
      <c r="I510" s="365" t="str">
        <f t="shared" ref="I510:I516" si="95">+IF(OR($H$3="地域がん診療病院",$H$4="地域がん診療病院",$H$4="地域がん診療病院(特例型)"),"A","-")</f>
        <v>-</v>
      </c>
      <c r="J510" s="75"/>
      <c r="K510" s="366"/>
      <c r="M510" s="356" t="str">
        <f t="shared" ref="M510:M516" si="96">+IF(I510="A",IF(ISBLANK(J510),"未入力あり",IF(J510="はい","○","×")),"")</f>
        <v/>
      </c>
      <c r="O510" s="166"/>
    </row>
    <row r="511" spans="1:21" ht="14.25" thickBot="1">
      <c r="A511" s="336">
        <v>511</v>
      </c>
      <c r="C511" s="989"/>
      <c r="D511" s="1006"/>
      <c r="E511" s="458"/>
      <c r="F511" s="458"/>
      <c r="G511" s="458"/>
      <c r="H511" s="408" t="s">
        <v>855</v>
      </c>
      <c r="I511" s="409" t="str">
        <f t="shared" si="95"/>
        <v>-</v>
      </c>
      <c r="J511" s="75"/>
      <c r="K511" s="410"/>
      <c r="M511" s="356" t="str">
        <f t="shared" si="96"/>
        <v/>
      </c>
      <c r="O511" s="166"/>
    </row>
    <row r="512" spans="1:21" ht="14.25" thickBot="1">
      <c r="A512" s="336">
        <v>512</v>
      </c>
      <c r="C512" s="989"/>
      <c r="D512" s="1006"/>
      <c r="E512" s="458"/>
      <c r="F512" s="458"/>
      <c r="G512" s="458"/>
      <c r="H512" s="429" t="s">
        <v>856</v>
      </c>
      <c r="I512" s="360" t="str">
        <f t="shared" si="95"/>
        <v>-</v>
      </c>
      <c r="J512" s="75"/>
      <c r="K512" s="361"/>
      <c r="M512" s="356" t="str">
        <f t="shared" si="96"/>
        <v/>
      </c>
      <c r="O512" s="166"/>
    </row>
    <row r="513" spans="1:21" ht="27.75" thickBot="1">
      <c r="A513" s="336">
        <v>513</v>
      </c>
      <c r="C513" s="989"/>
      <c r="D513" s="1089" t="s">
        <v>857</v>
      </c>
      <c r="E513" s="1069"/>
      <c r="F513" s="1069"/>
      <c r="G513" s="1069"/>
      <c r="H513" s="1081" t="s">
        <v>858</v>
      </c>
      <c r="I513" s="1082" t="str">
        <f t="shared" si="95"/>
        <v>-</v>
      </c>
      <c r="J513" s="75"/>
      <c r="K513" s="1066"/>
      <c r="M513" s="356" t="str">
        <f t="shared" si="96"/>
        <v/>
      </c>
      <c r="O513" s="166"/>
    </row>
    <row r="514" spans="1:21" ht="48" customHeight="1" thickBot="1">
      <c r="A514" s="336">
        <v>514</v>
      </c>
      <c r="C514" s="989"/>
      <c r="D514" s="1089" t="s">
        <v>859</v>
      </c>
      <c r="E514" s="1069"/>
      <c r="F514" s="1069"/>
      <c r="G514" s="1069"/>
      <c r="H514" s="1081" t="s">
        <v>860</v>
      </c>
      <c r="I514" s="1082" t="str">
        <f t="shared" si="95"/>
        <v>-</v>
      </c>
      <c r="J514" s="75"/>
      <c r="K514" s="1066"/>
      <c r="M514" s="356" t="str">
        <f t="shared" si="96"/>
        <v/>
      </c>
      <c r="O514" s="166"/>
    </row>
    <row r="515" spans="1:21" ht="27.75" thickBot="1">
      <c r="A515" s="336">
        <v>515</v>
      </c>
      <c r="C515" s="989"/>
      <c r="D515" s="1006"/>
      <c r="E515" s="458"/>
      <c r="F515" s="458"/>
      <c r="G515" s="458"/>
      <c r="H515" s="408" t="s">
        <v>1171</v>
      </c>
      <c r="I515" s="409" t="str">
        <f t="shared" si="95"/>
        <v>-</v>
      </c>
      <c r="J515" s="75"/>
      <c r="K515" s="410"/>
      <c r="M515" s="356" t="str">
        <f t="shared" si="96"/>
        <v/>
      </c>
      <c r="O515" s="166"/>
    </row>
    <row r="516" spans="1:21" ht="14.25" thickBot="1">
      <c r="A516" s="336">
        <v>516</v>
      </c>
      <c r="C516" s="989"/>
      <c r="D516" s="1006"/>
      <c r="E516" s="458"/>
      <c r="F516" s="458"/>
      <c r="G516" s="458"/>
      <c r="H516" s="429" t="s">
        <v>862</v>
      </c>
      <c r="I516" s="430" t="str">
        <f t="shared" si="95"/>
        <v>-</v>
      </c>
      <c r="J516" s="75"/>
      <c r="K516" s="401"/>
      <c r="M516" s="356" t="str">
        <f t="shared" si="96"/>
        <v/>
      </c>
      <c r="O516" s="166"/>
    </row>
    <row r="517" spans="1:21" ht="14.25" thickBot="1">
      <c r="A517" s="336">
        <v>517</v>
      </c>
      <c r="C517" s="989"/>
      <c r="D517" s="1006"/>
      <c r="E517" s="458"/>
      <c r="F517" s="458"/>
      <c r="G517" s="458"/>
      <c r="H517" s="459" t="str">
        <f>+'事務局使用（発出時は非表示にすること）'!B3&amp;"で自施設に所属する初期臨床研修医の人数"</f>
        <v>令和６年９月１日時点で自施設に所属する初期臨床研修医の人数</v>
      </c>
      <c r="I517" s="460" t="s">
        <v>645</v>
      </c>
      <c r="J517" s="335"/>
      <c r="K517" s="461"/>
      <c r="M517" s="356" t="str">
        <f t="shared" ref="M517:M521" si="97">+IF(AND(OR($H$3="地域がん診療病院",$H$4="地域がん診療病院",$H$4="地域がん診療病院(特例型)"),J517=""),"未入力あり",IF(AND(OR($H$3="地域がん診療病院",$H$4="地域がん診療病院",$H$4="地域がん診療病院(特例型)"),J517&lt;&gt;""),"〇",""))</f>
        <v/>
      </c>
      <c r="O517" s="166"/>
      <c r="T517" s="375">
        <v>0</v>
      </c>
      <c r="U517" s="376">
        <v>100</v>
      </c>
    </row>
    <row r="518" spans="1:21" ht="14.25" thickBot="1">
      <c r="A518" s="336">
        <v>518</v>
      </c>
      <c r="C518" s="989"/>
      <c r="D518" s="1006"/>
      <c r="E518" s="458"/>
      <c r="F518" s="458"/>
      <c r="G518" s="458"/>
      <c r="H518" s="393" t="s">
        <v>863</v>
      </c>
      <c r="I518" s="396" t="s">
        <v>645</v>
      </c>
      <c r="J518" s="335"/>
      <c r="K518" s="395"/>
      <c r="M518" s="356" t="str">
        <f t="shared" si="97"/>
        <v/>
      </c>
      <c r="O518" s="166"/>
      <c r="T518" s="375">
        <v>0</v>
      </c>
      <c r="U518" s="376">
        <v>100</v>
      </c>
    </row>
    <row r="519" spans="1:21" ht="14.25" thickBot="1">
      <c r="A519" s="336">
        <v>519</v>
      </c>
      <c r="C519" s="989"/>
      <c r="D519" s="1006"/>
      <c r="E519" s="458"/>
      <c r="F519" s="458"/>
      <c r="G519" s="458"/>
      <c r="H519" s="462" t="s">
        <v>1172</v>
      </c>
      <c r="I519" s="463" t="s">
        <v>645</v>
      </c>
      <c r="J519" s="464" t="str">
        <f>+IFERROR(J518/J517,"")</f>
        <v/>
      </c>
      <c r="K519" s="420"/>
      <c r="O519" s="166"/>
    </row>
    <row r="520" spans="1:21" ht="14.25" thickBot="1">
      <c r="A520" s="336">
        <v>520</v>
      </c>
      <c r="C520" s="989"/>
      <c r="D520" s="1006"/>
      <c r="E520" s="458"/>
      <c r="F520" s="458"/>
      <c r="G520" s="458"/>
      <c r="H520" s="459" t="s">
        <v>865</v>
      </c>
      <c r="I520" s="460" t="s">
        <v>645</v>
      </c>
      <c r="J520" s="335"/>
      <c r="K520" s="461"/>
      <c r="M520" s="356" t="str">
        <f t="shared" si="97"/>
        <v/>
      </c>
      <c r="O520" s="166"/>
      <c r="T520" s="375">
        <v>0</v>
      </c>
      <c r="U520" s="375">
        <v>200</v>
      </c>
    </row>
    <row r="521" spans="1:21" ht="14.25" thickBot="1">
      <c r="A521" s="336">
        <v>521</v>
      </c>
      <c r="C521" s="989"/>
      <c r="D521" s="1006"/>
      <c r="E521" s="458"/>
      <c r="F521" s="458"/>
      <c r="G521" s="458"/>
      <c r="H521" s="393" t="s">
        <v>863</v>
      </c>
      <c r="I521" s="396" t="s">
        <v>645</v>
      </c>
      <c r="J521" s="335"/>
      <c r="K521" s="395"/>
      <c r="M521" s="356" t="str">
        <f t="shared" si="97"/>
        <v/>
      </c>
      <c r="O521" s="166"/>
      <c r="T521" s="375">
        <v>0</v>
      </c>
      <c r="U521" s="375">
        <v>130</v>
      </c>
    </row>
    <row r="522" spans="1:21" ht="14.25" thickBot="1">
      <c r="A522" s="336">
        <v>522</v>
      </c>
      <c r="C522" s="989"/>
      <c r="D522" s="1006"/>
      <c r="E522" s="458"/>
      <c r="F522" s="458"/>
      <c r="G522" s="458"/>
      <c r="H522" s="462" t="s">
        <v>1172</v>
      </c>
      <c r="I522" s="463" t="s">
        <v>645</v>
      </c>
      <c r="J522" s="464" t="str">
        <f>+IFERROR(J521/J520,"")</f>
        <v/>
      </c>
      <c r="K522" s="420"/>
      <c r="O522" s="166"/>
    </row>
    <row r="523" spans="1:21" ht="14.25" thickBot="1">
      <c r="A523" s="336">
        <v>523</v>
      </c>
      <c r="C523" s="989"/>
      <c r="D523" s="1006"/>
      <c r="E523" s="458"/>
      <c r="F523" s="458"/>
      <c r="G523" s="458"/>
      <c r="H523" s="429" t="s">
        <v>866</v>
      </c>
      <c r="I523" s="430" t="str">
        <f>+IF(OR($H$3="地域がん診療病院",$H$4="地域がん診療病院",$H$4="地域がん診療病院(特例型)"),"A","-")</f>
        <v>-</v>
      </c>
      <c r="J523" s="75"/>
      <c r="K523" s="401"/>
      <c r="M523" s="356" t="str">
        <f t="shared" ref="M523:M535" si="98">+IF(I523="A",IF(ISBLANK(J523),"未入力あり",IF(J523="はい","○","×")),"")</f>
        <v/>
      </c>
      <c r="O523" s="166"/>
    </row>
    <row r="524" spans="1:21" ht="14.25" thickBot="1">
      <c r="A524" s="336">
        <v>524</v>
      </c>
      <c r="C524" s="989"/>
      <c r="D524" s="1006"/>
      <c r="E524" s="458"/>
      <c r="F524" s="458"/>
      <c r="G524" s="458"/>
      <c r="H524" s="359" t="s">
        <v>867</v>
      </c>
      <c r="I524" s="360" t="str">
        <f>+IF(OR($H$3="地域がん診療病院",$H$4="地域がん診療病院",$H$4="地域がん診療病院(特例型)"),"A","-")</f>
        <v>-</v>
      </c>
      <c r="J524" s="75"/>
      <c r="K524" s="361"/>
      <c r="M524" s="356" t="str">
        <f t="shared" si="98"/>
        <v/>
      </c>
      <c r="O524" s="166"/>
    </row>
    <row r="525" spans="1:21" ht="14.25" thickBot="1">
      <c r="A525" s="336">
        <v>525</v>
      </c>
      <c r="C525" s="989"/>
      <c r="D525" s="1089" t="s">
        <v>868</v>
      </c>
      <c r="E525" s="1069"/>
      <c r="F525" s="1069"/>
      <c r="G525" s="1069"/>
      <c r="H525" s="1081" t="s">
        <v>869</v>
      </c>
      <c r="I525" s="1082" t="str">
        <f>+IF(OR($H$3="地域がん診療病院",$H$4="地域がん診療病院",$H$4="地域がん診療病院(特例型)"),"A","-")</f>
        <v>-</v>
      </c>
      <c r="J525" s="75"/>
      <c r="K525" s="1066"/>
      <c r="M525" s="356" t="str">
        <f t="shared" si="98"/>
        <v/>
      </c>
      <c r="O525" s="166"/>
    </row>
    <row r="526" spans="1:21" ht="27.75" thickBot="1">
      <c r="A526" s="336">
        <v>526</v>
      </c>
      <c r="C526" s="989"/>
      <c r="D526" s="465" t="s">
        <v>870</v>
      </c>
      <c r="E526" s="466"/>
      <c r="F526" s="466"/>
      <c r="G526" s="466"/>
      <c r="H526" s="68" t="s">
        <v>871</v>
      </c>
      <c r="I526" s="382" t="str">
        <f>+IF(OR($H$3="地域がん診療病院",$H$4="地域がん診療病院",$H$4="地域がん診療病院(特例型)"),"A","-")</f>
        <v>-</v>
      </c>
      <c r="J526" s="75"/>
      <c r="K526" s="383"/>
      <c r="M526" s="356" t="str">
        <f t="shared" si="98"/>
        <v/>
      </c>
      <c r="O526" s="166"/>
    </row>
    <row r="527" spans="1:21" ht="27.75" thickBot="1">
      <c r="A527" s="336">
        <v>527</v>
      </c>
      <c r="C527" s="989"/>
      <c r="D527" s="1006" t="s">
        <v>872</v>
      </c>
      <c r="E527" s="458"/>
      <c r="F527" s="458"/>
      <c r="G527" s="458"/>
      <c r="H527" s="429" t="s">
        <v>873</v>
      </c>
      <c r="I527" s="430" t="str">
        <f>+IF(OR($H$3="地域がん診療病院",$H$4="地域がん診療病院",$H$4="地域がん診療病院(特例型)"),"A","-")</f>
        <v>-</v>
      </c>
      <c r="J527" s="75"/>
      <c r="K527" s="401"/>
      <c r="M527" s="356" t="str">
        <f t="shared" si="98"/>
        <v/>
      </c>
      <c r="O527" s="166"/>
    </row>
    <row r="528" spans="1:21" ht="14.25" thickBot="1">
      <c r="A528" s="336">
        <v>528</v>
      </c>
      <c r="C528" s="989"/>
      <c r="D528" s="1006"/>
      <c r="E528" s="458"/>
      <c r="F528" s="458"/>
      <c r="G528" s="458"/>
      <c r="H528" s="436" t="s">
        <v>874</v>
      </c>
      <c r="I528" s="445" t="str">
        <f>+IF(OR($H$3="地域がん診療病院",$H$4="地域がん診療病院",$H$4="地域がん診療病院(特例型)"),"C","-")</f>
        <v>-</v>
      </c>
      <c r="J528" s="75"/>
      <c r="K528" s="438"/>
      <c r="M528" s="356" t="str">
        <f>IF(AND(I528="C",J528=""),"未入力あり",IF(AND(I528="C",J528&lt;&gt;""),"〇",IF(I528="-","")))</f>
        <v/>
      </c>
      <c r="O528" s="166"/>
    </row>
    <row r="529" spans="1:21">
      <c r="A529" s="336">
        <v>529</v>
      </c>
      <c r="C529" s="989"/>
      <c r="D529" s="1006"/>
      <c r="E529" s="458"/>
      <c r="F529" s="458"/>
      <c r="G529" s="458"/>
      <c r="H529" s="444" t="s">
        <v>875</v>
      </c>
      <c r="I529" s="445" t="s">
        <v>649</v>
      </c>
      <c r="J529" s="335"/>
      <c r="K529" s="438"/>
      <c r="M529" s="356" t="str">
        <f t="shared" ref="M529:M530" si="99">+IF(AND(OR($H$3="地域がん診療病院",$H$4="地域がん診療病院",$H$4="地域がん診療病院(特例型)"),J529=""),"未入力あり",IF(AND(OR($H$3="地域がん診療病院",$H$4="地域がん診療病院",$H$4="地域がん診療病院(特例型)"),J529&lt;&gt;""),"〇",""))</f>
        <v/>
      </c>
      <c r="O529" s="166"/>
      <c r="T529" s="375">
        <v>0</v>
      </c>
      <c r="U529" s="376">
        <v>100</v>
      </c>
    </row>
    <row r="530" spans="1:21" ht="45.75" customHeight="1">
      <c r="A530" s="336">
        <v>530</v>
      </c>
      <c r="C530" s="989"/>
      <c r="D530" s="468"/>
      <c r="E530" s="469"/>
      <c r="F530" s="469"/>
      <c r="G530" s="470"/>
      <c r="H530" s="384" t="s">
        <v>876</v>
      </c>
      <c r="I530" s="385" t="s">
        <v>649</v>
      </c>
      <c r="J530" s="111"/>
      <c r="K530" s="386"/>
      <c r="M530" s="356" t="str">
        <f t="shared" si="99"/>
        <v/>
      </c>
      <c r="O530" s="166"/>
    </row>
    <row r="531" spans="1:21" ht="14.25" thickBot="1">
      <c r="A531" s="336">
        <v>531</v>
      </c>
      <c r="C531" s="989"/>
      <c r="D531" s="1006" t="s">
        <v>877</v>
      </c>
      <c r="E531" s="458"/>
      <c r="F531" s="458"/>
      <c r="G531" s="458"/>
      <c r="H531" s="429" t="s">
        <v>878</v>
      </c>
      <c r="I531" s="430" t="str">
        <f>+IF(OR($H$3="地域がん診療病院",$H$4="地域がん診療病院",$H$4="地域がん診療病院(特例型)"),"A","-")</f>
        <v>-</v>
      </c>
      <c r="J531" s="75"/>
      <c r="K531" s="401"/>
      <c r="M531" s="356" t="str">
        <f t="shared" si="98"/>
        <v/>
      </c>
      <c r="O531" s="166"/>
    </row>
    <row r="532" spans="1:21">
      <c r="A532" s="336">
        <v>532</v>
      </c>
      <c r="C532" s="989"/>
      <c r="D532" s="1006"/>
      <c r="E532" s="458"/>
      <c r="F532" s="458"/>
      <c r="G532" s="467"/>
      <c r="H532" s="397" t="s">
        <v>875</v>
      </c>
      <c r="I532" s="398" t="s">
        <v>649</v>
      </c>
      <c r="J532" s="335"/>
      <c r="K532" s="399"/>
      <c r="M532" s="356" t="str">
        <f t="shared" ref="M532:M533" si="100">+IF(AND(OR($H$3="地域がん診療病院",$H$4="地域がん診療病院",$H$4="地域がん診療病院(特例型)"),J532=""),"未入力あり",IF(AND(OR($H$3="地域がん診療病院",$H$4="地域がん診療病院",$H$4="地域がん診療病院(特例型)"),J532&lt;&gt;""),"〇",""))</f>
        <v/>
      </c>
      <c r="O532" s="166"/>
      <c r="T532" s="375">
        <v>0</v>
      </c>
      <c r="U532" s="376">
        <v>100</v>
      </c>
    </row>
    <row r="533" spans="1:21" ht="45.75" customHeight="1">
      <c r="A533" s="336">
        <v>533</v>
      </c>
      <c r="C533" s="989"/>
      <c r="D533" s="1006"/>
      <c r="E533" s="458"/>
      <c r="F533" s="458"/>
      <c r="G533" s="458"/>
      <c r="H533" s="397" t="s">
        <v>876</v>
      </c>
      <c r="I533" s="398" t="s">
        <v>649</v>
      </c>
      <c r="J533" s="111"/>
      <c r="K533" s="399"/>
      <c r="M533" s="356" t="str">
        <f t="shared" si="100"/>
        <v/>
      </c>
      <c r="O533" s="166"/>
    </row>
    <row r="534" spans="1:21" ht="27.75" thickBot="1">
      <c r="A534" s="336">
        <v>534</v>
      </c>
      <c r="C534" s="989"/>
      <c r="D534" s="1006"/>
      <c r="E534" s="458"/>
      <c r="F534" s="458"/>
      <c r="G534" s="458"/>
      <c r="H534" s="359" t="s">
        <v>1173</v>
      </c>
      <c r="I534" s="360" t="str">
        <f>+IF(OR($H$3="地域がん診療病院",$H$4="地域がん診療病院",$H$4="地域がん診療病院(特例型)"),"A","-")</f>
        <v>-</v>
      </c>
      <c r="J534" s="75"/>
      <c r="K534" s="361"/>
      <c r="M534" s="356" t="str">
        <f t="shared" si="98"/>
        <v/>
      </c>
      <c r="O534" s="166"/>
    </row>
    <row r="535" spans="1:21" ht="14.25" thickBot="1">
      <c r="A535" s="336">
        <v>535</v>
      </c>
      <c r="C535" s="362"/>
      <c r="D535" s="465" t="s">
        <v>880</v>
      </c>
      <c r="E535" s="466"/>
      <c r="F535" s="466"/>
      <c r="G535" s="521"/>
      <c r="H535" s="402" t="s">
        <v>1174</v>
      </c>
      <c r="I535" s="403" t="str">
        <f>+IF(OR($H$3="地域がん診療病院",$H$4="地域がん診療病院",$H$4="地域がん診療病院(特例型)"),"A","-")</f>
        <v>-</v>
      </c>
      <c r="J535" s="75"/>
      <c r="K535" s="392"/>
      <c r="M535" s="356" t="str">
        <f t="shared" si="98"/>
        <v/>
      </c>
      <c r="O535" s="166"/>
    </row>
    <row r="536" spans="1:21" ht="14.25" thickBot="1">
      <c r="A536" s="336">
        <v>536</v>
      </c>
      <c r="C536" s="1058" t="s">
        <v>882</v>
      </c>
      <c r="D536" s="1059" t="s">
        <v>883</v>
      </c>
      <c r="E536" s="1060"/>
      <c r="F536" s="1060"/>
      <c r="G536" s="1060"/>
      <c r="H536" s="1061"/>
      <c r="I536" s="1062"/>
      <c r="J536" s="1061"/>
      <c r="K536" s="1063"/>
      <c r="O536" s="166"/>
    </row>
    <row r="537" spans="1:21" ht="14.25" thickBot="1">
      <c r="A537" s="336">
        <v>537</v>
      </c>
      <c r="C537" s="989"/>
      <c r="D537" s="1067" t="s">
        <v>611</v>
      </c>
      <c r="E537" s="1068" t="s">
        <v>884</v>
      </c>
      <c r="F537" s="1069"/>
      <c r="G537" s="1069"/>
      <c r="H537" s="1070"/>
      <c r="I537" s="1071"/>
      <c r="J537" s="1070"/>
      <c r="K537" s="1072"/>
      <c r="O537" s="166"/>
    </row>
    <row r="538" spans="1:21" ht="27.75" thickBot="1">
      <c r="A538" s="336">
        <v>538</v>
      </c>
      <c r="C538" s="989"/>
      <c r="D538" s="989"/>
      <c r="H538" s="68" t="s">
        <v>1175</v>
      </c>
      <c r="I538" s="382" t="str">
        <f>+IF(OR($H$3="地域がん診療病院",$H$4="地域がん診療病院",$H$4="地域がん診療病院(特例型)"),"A","-")</f>
        <v>-</v>
      </c>
      <c r="J538" s="75"/>
      <c r="K538" s="383"/>
      <c r="M538" s="356" t="str">
        <f t="shared" ref="M538:M543" si="101">+IF(I538="A",IF(ISBLANK(J538),"未入力あり",IF(J538="はい","○","×")),"")</f>
        <v/>
      </c>
      <c r="O538" s="166"/>
    </row>
    <row r="539" spans="1:21" ht="14.25" thickBot="1">
      <c r="A539" s="336">
        <v>539</v>
      </c>
      <c r="C539" s="989"/>
      <c r="D539" s="989"/>
      <c r="H539" s="408" t="s">
        <v>887</v>
      </c>
      <c r="I539" s="409" t="s">
        <v>645</v>
      </c>
      <c r="J539" s="75"/>
      <c r="K539" s="410"/>
      <c r="M539" s="356" t="str">
        <f t="shared" ref="M539:M541" si="102">+IF(AND(OR($H$3="地域がん診療病院",$H$4="地域がん診療病院",$H$4="地域がん診療病院(特例型)"),J539=""),"未入力あり",IF(AND(OR($H$3="地域がん診療病院",$H$4="地域がん診療病院",$H$4="地域がん診療病院(特例型)"),J539&lt;&gt;""),"〇",""))</f>
        <v/>
      </c>
      <c r="O539" s="166"/>
    </row>
    <row r="540" spans="1:21" ht="14.25" thickBot="1">
      <c r="A540" s="336">
        <v>540</v>
      </c>
      <c r="C540" s="989"/>
      <c r="D540" s="989"/>
      <c r="H540" s="429" t="s">
        <v>888</v>
      </c>
      <c r="I540" s="522" t="s">
        <v>649</v>
      </c>
      <c r="J540" s="75"/>
      <c r="K540" s="392"/>
      <c r="M540" s="356" t="str">
        <f t="shared" si="102"/>
        <v/>
      </c>
      <c r="O540" s="166"/>
    </row>
    <row r="541" spans="1:21" ht="14.25" thickBot="1">
      <c r="A541" s="336">
        <v>541</v>
      </c>
      <c r="C541" s="989"/>
      <c r="D541" s="989"/>
      <c r="E541" s="358"/>
      <c r="H541" s="384" t="s">
        <v>1176</v>
      </c>
      <c r="I541" s="486" t="s">
        <v>649</v>
      </c>
      <c r="J541" s="75"/>
      <c r="K541" s="395"/>
      <c r="M541" s="356" t="str">
        <f t="shared" si="102"/>
        <v/>
      </c>
      <c r="O541" s="166"/>
    </row>
    <row r="542" spans="1:21" ht="14.25" thickBot="1">
      <c r="A542" s="336">
        <v>542</v>
      </c>
      <c r="C542" s="989"/>
      <c r="D542" s="989"/>
      <c r="E542" s="1073" t="s">
        <v>802</v>
      </c>
      <c r="F542" s="1075"/>
      <c r="G542" s="1075"/>
      <c r="H542" s="1081" t="s">
        <v>1177</v>
      </c>
      <c r="I542" s="1082" t="str">
        <f t="shared" ref="I542:I547" si="103">+IF(OR($H$3="地域がん診療病院",$H$4="地域がん診療病院",$H$4="地域がん診療病院(特例型)"),"A","-")</f>
        <v>-</v>
      </c>
      <c r="J542" s="75"/>
      <c r="K542" s="1066"/>
      <c r="M542" s="356" t="str">
        <f t="shared" si="101"/>
        <v/>
      </c>
      <c r="O542" s="166"/>
    </row>
    <row r="543" spans="1:21" ht="14.25" thickBot="1">
      <c r="A543" s="336">
        <v>543</v>
      </c>
      <c r="C543" s="989"/>
      <c r="D543" s="989"/>
      <c r="E543" s="990"/>
      <c r="F543" s="450"/>
      <c r="G543" s="450"/>
      <c r="H543" s="459" t="s">
        <v>1178</v>
      </c>
      <c r="I543" s="460" t="str">
        <f t="shared" si="103"/>
        <v>-</v>
      </c>
      <c r="J543" s="75"/>
      <c r="K543" s="1066" t="s">
        <v>1179</v>
      </c>
      <c r="M543" s="356" t="str">
        <f t="shared" si="101"/>
        <v/>
      </c>
      <c r="O543" s="166"/>
    </row>
    <row r="544" spans="1:21" ht="14.25" thickBot="1">
      <c r="A544" s="336">
        <v>544</v>
      </c>
      <c r="C544" s="989"/>
      <c r="D544" s="989"/>
      <c r="E544" s="451" t="s">
        <v>805</v>
      </c>
      <c r="F544" s="452"/>
      <c r="G544" s="452"/>
      <c r="H544" s="68" t="s">
        <v>898</v>
      </c>
      <c r="I544" s="382" t="str">
        <f t="shared" si="103"/>
        <v>-</v>
      </c>
      <c r="J544" s="75"/>
      <c r="K544" s="383"/>
      <c r="M544" s="356" t="str">
        <f t="shared" ref="M544:M553" si="104">+IF(I544="A",IF(ISBLANK(J544),"未入力あり",IF(J544="はい","○","×")),"")</f>
        <v/>
      </c>
      <c r="O544" s="166"/>
    </row>
    <row r="545" spans="1:15" ht="27.75" thickBot="1">
      <c r="A545" s="336">
        <v>545</v>
      </c>
      <c r="C545" s="989"/>
      <c r="D545" s="989"/>
      <c r="E545" s="1073" t="s">
        <v>808</v>
      </c>
      <c r="F545" s="1075"/>
      <c r="G545" s="1075"/>
      <c r="H545" s="1081" t="s">
        <v>899</v>
      </c>
      <c r="I545" s="1082" t="str">
        <f t="shared" si="103"/>
        <v>-</v>
      </c>
      <c r="J545" s="75"/>
      <c r="K545" s="1066" t="s">
        <v>1180</v>
      </c>
      <c r="M545" s="356" t="str">
        <f t="shared" si="104"/>
        <v/>
      </c>
      <c r="O545" s="166"/>
    </row>
    <row r="546" spans="1:15" ht="14.25" thickBot="1">
      <c r="A546" s="336">
        <v>546</v>
      </c>
      <c r="C546" s="989"/>
      <c r="D546" s="989"/>
      <c r="E546" s="990"/>
      <c r="F546" s="450"/>
      <c r="G546" s="450"/>
      <c r="H546" s="68" t="s">
        <v>901</v>
      </c>
      <c r="I546" s="382" t="str">
        <f t="shared" si="103"/>
        <v>-</v>
      </c>
      <c r="J546" s="75"/>
      <c r="K546" s="383" t="s">
        <v>902</v>
      </c>
      <c r="M546" s="356" t="str">
        <f t="shared" si="104"/>
        <v/>
      </c>
      <c r="O546" s="166"/>
    </row>
    <row r="547" spans="1:15" ht="14.25" thickBot="1">
      <c r="A547" s="336">
        <v>547</v>
      </c>
      <c r="C547" s="989"/>
      <c r="D547" s="989"/>
      <c r="E547" s="1073" t="s">
        <v>810</v>
      </c>
      <c r="F547" s="1075"/>
      <c r="G547" s="1075"/>
      <c r="H547" s="1081" t="s">
        <v>903</v>
      </c>
      <c r="I547" s="1082" t="str">
        <f t="shared" si="103"/>
        <v>-</v>
      </c>
      <c r="J547" s="75"/>
      <c r="K547" s="1066"/>
      <c r="M547" s="356" t="str">
        <f t="shared" si="104"/>
        <v/>
      </c>
      <c r="O547" s="166"/>
    </row>
    <row r="548" spans="1:15" ht="27.75" thickBot="1">
      <c r="A548" s="336">
        <v>548</v>
      </c>
      <c r="C548" s="989"/>
      <c r="D548" s="989"/>
      <c r="E548" s="990"/>
      <c r="F548" s="1079" t="s">
        <v>614</v>
      </c>
      <c r="G548" s="1080"/>
      <c r="H548" s="1081" t="s">
        <v>904</v>
      </c>
      <c r="I548" s="1082" t="str">
        <f>+IF(OR($H$3="地域がん診療病院",$H$4="地域がん診療病院",$H$4="地域がん診療病院(特例型)"),"B","-")</f>
        <v>-</v>
      </c>
      <c r="J548" s="75"/>
      <c r="K548" s="1066" t="s">
        <v>905</v>
      </c>
      <c r="M548" s="356" t="str">
        <f>IF(AND(I548="B",J548=""),"未入力あり",IF(AND(I548="B",J548&lt;&gt;""),"〇",IF(I548="-","")))</f>
        <v/>
      </c>
      <c r="O548" s="166"/>
    </row>
    <row r="549" spans="1:15" ht="27.75" thickBot="1">
      <c r="A549" s="336">
        <v>549</v>
      </c>
      <c r="C549" s="989"/>
      <c r="D549" s="989"/>
      <c r="E549" s="990"/>
      <c r="F549" s="1079" t="s">
        <v>619</v>
      </c>
      <c r="G549" s="1080"/>
      <c r="H549" s="1081" t="s">
        <v>906</v>
      </c>
      <c r="I549" s="1082" t="str">
        <f>+IF(OR($H$3="地域がん診療病院",$H$4="地域がん診療病院",$H$4="地域がん診療病院(特例型)"),"A","-")</f>
        <v>-</v>
      </c>
      <c r="J549" s="75"/>
      <c r="K549" s="1066"/>
      <c r="M549" s="356" t="str">
        <f t="shared" si="104"/>
        <v/>
      </c>
      <c r="O549" s="166"/>
    </row>
    <row r="550" spans="1:15" ht="14.25" thickBot="1">
      <c r="A550" s="336">
        <v>550</v>
      </c>
      <c r="C550" s="989"/>
      <c r="D550" s="989"/>
      <c r="E550" s="990"/>
      <c r="F550" s="380" t="s">
        <v>627</v>
      </c>
      <c r="G550" s="381"/>
      <c r="H550" s="68" t="s">
        <v>907</v>
      </c>
      <c r="I550" s="382" t="str">
        <f>+IF(OR($H$3="地域がん診療病院",$H$4="地域がん診療病院",$H$4="地域がん診療病院(特例型)"),"A","-")</f>
        <v>-</v>
      </c>
      <c r="J550" s="75"/>
      <c r="K550" s="383"/>
      <c r="M550" s="356" t="str">
        <f t="shared" si="104"/>
        <v/>
      </c>
      <c r="O550" s="166"/>
    </row>
    <row r="551" spans="1:15" ht="14.25" thickBot="1">
      <c r="A551" s="336">
        <v>551</v>
      </c>
      <c r="C551" s="989"/>
      <c r="D551" s="989"/>
      <c r="E551" s="990"/>
      <c r="F551" s="1079" t="s">
        <v>639</v>
      </c>
      <c r="G551" s="1083"/>
      <c r="H551" s="429" t="s">
        <v>908</v>
      </c>
      <c r="I551" s="430" t="str">
        <f>+IF(OR($H$3="地域がん診療病院",$H$4="地域がん診療病院",$H$4="地域がん診療病院(特例型)"),"A","-")</f>
        <v>-</v>
      </c>
      <c r="J551" s="75"/>
      <c r="K551" s="401"/>
      <c r="M551" s="356" t="str">
        <f t="shared" si="104"/>
        <v/>
      </c>
      <c r="O551" s="166"/>
    </row>
    <row r="552" spans="1:15" ht="14.25" thickBot="1">
      <c r="A552" s="336">
        <v>552</v>
      </c>
      <c r="C552" s="989"/>
      <c r="D552" s="989"/>
      <c r="E552" s="990"/>
      <c r="F552" s="362"/>
      <c r="G552" s="379"/>
      <c r="H552" s="359" t="s">
        <v>909</v>
      </c>
      <c r="I552" s="363" t="str">
        <f>+IF(OR($H$3="地域がん診療病院",$H$4="地域がん診療病院",$H$4="地域がん診療病院(特例型)"),"A","-")</f>
        <v>-</v>
      </c>
      <c r="J552" s="75"/>
      <c r="K552" s="361"/>
      <c r="M552" s="356" t="str">
        <f t="shared" si="104"/>
        <v/>
      </c>
      <c r="O552" s="166"/>
    </row>
    <row r="553" spans="1:15" ht="14.25" thickBot="1">
      <c r="A553" s="336">
        <v>553</v>
      </c>
      <c r="C553" s="989"/>
      <c r="D553" s="989"/>
      <c r="E553" s="990"/>
      <c r="F553" s="989" t="s">
        <v>642</v>
      </c>
      <c r="H553" s="429" t="s">
        <v>1181</v>
      </c>
      <c r="I553" s="430" t="str">
        <f>+IF(OR($H$3="地域がん診療病院",$H$4="地域がん診療病院",$H$4="地域がん診療病院(特例型)"),"A","-")</f>
        <v>-</v>
      </c>
      <c r="J553" s="75"/>
      <c r="K553" s="401"/>
      <c r="M553" s="356" t="str">
        <f t="shared" si="104"/>
        <v/>
      </c>
      <c r="O553" s="166"/>
    </row>
    <row r="554" spans="1:15" ht="27">
      <c r="A554" s="336">
        <v>554</v>
      </c>
      <c r="C554" s="989"/>
      <c r="D554" s="989"/>
      <c r="E554" s="990"/>
      <c r="F554" s="989"/>
      <c r="H554" s="393" t="s">
        <v>1182</v>
      </c>
      <c r="I554" s="394" t="s">
        <v>645</v>
      </c>
      <c r="J554" s="89"/>
      <c r="K554" s="395" t="s">
        <v>1183</v>
      </c>
      <c r="M554" s="356" t="str">
        <f t="shared" ref="M554" si="105">+IF(AND(OR($H$3="地域がん診療病院",$H$4="地域がん診療病院",$H$4="地域がん診療病院(特例型)"),J554=""),"未入力あり",IF(AND(OR($H$3="地域がん診療病院",$H$4="地域がん診療病院",$H$4="地域がん診療病院(特例型)"),J554&lt;&gt;""),"〇",""))</f>
        <v/>
      </c>
      <c r="O554" s="166"/>
    </row>
    <row r="555" spans="1:15" ht="14.25" thickBot="1">
      <c r="A555" s="336">
        <v>555</v>
      </c>
      <c r="C555" s="989"/>
      <c r="D555" s="989"/>
      <c r="E555" s="1073" t="s">
        <v>911</v>
      </c>
      <c r="F555" s="1075"/>
      <c r="G555" s="1075"/>
      <c r="H555" s="1081" t="s">
        <v>912</v>
      </c>
      <c r="I555" s="1082" t="str">
        <f t="shared" ref="I555:I560" si="106">+IF(OR($H$3="地域がん診療病院",$H$4="地域がん診療病院",$H$4="地域がん診療病院(特例型)"),"A","-")</f>
        <v>-</v>
      </c>
      <c r="J555" s="75"/>
      <c r="K555" s="1066"/>
      <c r="M555" s="356" t="str">
        <f t="shared" ref="M555:M560" si="107">+IF(I555="A",IF(ISBLANK(J555),"未入力あり",IF(J555="はい","○","×")),"")</f>
        <v/>
      </c>
      <c r="O555" s="166"/>
    </row>
    <row r="556" spans="1:15" ht="14.25" thickBot="1">
      <c r="A556" s="336">
        <v>556</v>
      </c>
      <c r="C556" s="989"/>
      <c r="D556" s="989"/>
      <c r="E556" s="456"/>
      <c r="F556" s="457"/>
      <c r="G556" s="457"/>
      <c r="H556" s="359" t="s">
        <v>913</v>
      </c>
      <c r="I556" s="363" t="str">
        <f t="shared" si="106"/>
        <v>-</v>
      </c>
      <c r="J556" s="75"/>
      <c r="K556" s="361"/>
      <c r="M556" s="356" t="str">
        <f t="shared" si="107"/>
        <v/>
      </c>
      <c r="O556" s="166"/>
    </row>
    <row r="557" spans="1:15" ht="27.75" thickBot="1">
      <c r="A557" s="336">
        <v>557</v>
      </c>
      <c r="C557" s="989"/>
      <c r="D557" s="989"/>
      <c r="E557" s="456" t="s">
        <v>914</v>
      </c>
      <c r="F557" s="457"/>
      <c r="G557" s="457"/>
      <c r="H557" s="402" t="s">
        <v>915</v>
      </c>
      <c r="I557" s="403" t="str">
        <f t="shared" si="106"/>
        <v>-</v>
      </c>
      <c r="J557" s="75"/>
      <c r="K557" s="392"/>
      <c r="M557" s="356" t="str">
        <f t="shared" si="107"/>
        <v/>
      </c>
      <c r="O557" s="166"/>
    </row>
    <row r="558" spans="1:15" ht="27.75" thickBot="1">
      <c r="A558" s="336">
        <v>558</v>
      </c>
      <c r="C558" s="989"/>
      <c r="D558" s="989"/>
      <c r="E558" s="456" t="s">
        <v>916</v>
      </c>
      <c r="F558" s="457"/>
      <c r="G558" s="457"/>
      <c r="H558" s="402" t="s">
        <v>917</v>
      </c>
      <c r="I558" s="403" t="str">
        <f t="shared" si="106"/>
        <v>-</v>
      </c>
      <c r="J558" s="75"/>
      <c r="K558" s="392"/>
      <c r="M558" s="356" t="str">
        <f t="shared" si="107"/>
        <v/>
      </c>
      <c r="O558" s="166"/>
    </row>
    <row r="559" spans="1:15" ht="14.25" thickBot="1">
      <c r="A559" s="336">
        <v>559</v>
      </c>
      <c r="C559" s="989"/>
      <c r="D559" s="989"/>
      <c r="E559" s="990" t="s">
        <v>918</v>
      </c>
      <c r="F559" s="450"/>
      <c r="G559" s="450"/>
      <c r="H559" s="429" t="s">
        <v>919</v>
      </c>
      <c r="I559" s="430" t="str">
        <f t="shared" si="106"/>
        <v>-</v>
      </c>
      <c r="J559" s="75"/>
      <c r="K559" s="401"/>
      <c r="M559" s="356" t="str">
        <f t="shared" si="107"/>
        <v/>
      </c>
      <c r="O559" s="166"/>
    </row>
    <row r="560" spans="1:15" ht="14.25" thickBot="1">
      <c r="A560" s="336">
        <v>560</v>
      </c>
      <c r="C560" s="989"/>
      <c r="D560" s="989"/>
      <c r="E560" s="990"/>
      <c r="F560" s="450"/>
      <c r="G560" s="450"/>
      <c r="H560" s="408" t="s">
        <v>920</v>
      </c>
      <c r="I560" s="431" t="str">
        <f t="shared" si="106"/>
        <v>-</v>
      </c>
      <c r="J560" s="75"/>
      <c r="K560" s="410"/>
      <c r="M560" s="356" t="str">
        <f t="shared" si="107"/>
        <v/>
      </c>
      <c r="O560" s="166"/>
    </row>
    <row r="561" spans="1:21" ht="14.25" thickBot="1">
      <c r="A561" s="336">
        <v>561</v>
      </c>
      <c r="C561" s="989"/>
      <c r="D561" s="362"/>
      <c r="E561" s="456"/>
      <c r="F561" s="457"/>
      <c r="G561" s="457"/>
      <c r="H561" s="402" t="s">
        <v>921</v>
      </c>
      <c r="I561" s="403" t="str">
        <f>+IF(OR($H$3="地域がん診療病院",$H$4="地域がん診療病院",$H$4="地域がん診療病院(特例型)"),"C","-")</f>
        <v>-</v>
      </c>
      <c r="J561" s="75"/>
      <c r="K561" s="392"/>
      <c r="M561" s="356" t="str">
        <f>IF(AND(I561="C",J561=""),"未入力あり",IF(AND(I561="C",J561&lt;&gt;""),"〇",IF(I561="-","")))</f>
        <v/>
      </c>
      <c r="O561" s="166"/>
    </row>
    <row r="562" spans="1:21" ht="14.25" thickBot="1">
      <c r="A562" s="336">
        <v>562</v>
      </c>
      <c r="C562" s="989"/>
      <c r="D562" s="1067" t="s">
        <v>754</v>
      </c>
      <c r="E562" s="1068" t="s">
        <v>922</v>
      </c>
      <c r="F562" s="1069"/>
      <c r="G562" s="1069"/>
      <c r="H562" s="1070"/>
      <c r="I562" s="1071"/>
      <c r="J562" s="1070"/>
      <c r="K562" s="1072"/>
      <c r="O562" s="166"/>
    </row>
    <row r="563" spans="1:21" ht="14.25" thickBot="1">
      <c r="A563" s="336">
        <v>563</v>
      </c>
      <c r="C563" s="989"/>
      <c r="D563" s="989"/>
      <c r="E563" s="1073" t="s">
        <v>802</v>
      </c>
      <c r="F563" s="1075"/>
      <c r="G563" s="1075"/>
      <c r="H563" s="1081" t="s">
        <v>1184</v>
      </c>
      <c r="I563" s="1082" t="str">
        <f>+IF(OR($H$3="地域がん診療病院",$H$4="地域がん診療病院",$H$4="地域がん診療病院(特例型)"),"A","-")</f>
        <v>-</v>
      </c>
      <c r="J563" s="75"/>
      <c r="K563" s="1066" t="s">
        <v>1185</v>
      </c>
      <c r="M563" s="356" t="str">
        <f t="shared" ref="M563:M564" si="108">+IF(I563="A",IF(ISBLANK(J563),"未入力あり",IF(J563="はい","○","×")),"")</f>
        <v/>
      </c>
      <c r="O563" s="166"/>
    </row>
    <row r="564" spans="1:21" ht="14.25" thickBot="1">
      <c r="A564" s="336">
        <v>564</v>
      </c>
      <c r="C564" s="989"/>
      <c r="D564" s="989"/>
      <c r="E564" s="1073" t="s">
        <v>805</v>
      </c>
      <c r="F564" s="1075"/>
      <c r="G564" s="1075"/>
      <c r="H564" s="1081" t="s">
        <v>1186</v>
      </c>
      <c r="I564" s="1082" t="str">
        <f>+IF(OR($H$3="地域がん診療病院",$H$4="地域がん診療病院",$H$4="地域がん診療病院(特例型)"),"A","-")</f>
        <v>-</v>
      </c>
      <c r="J564" s="75"/>
      <c r="K564" s="1066" t="s">
        <v>1187</v>
      </c>
      <c r="M564" s="356" t="str">
        <f t="shared" si="108"/>
        <v/>
      </c>
      <c r="O564" s="166"/>
    </row>
    <row r="565" spans="1:21" ht="14.25" thickBot="1">
      <c r="A565" s="336">
        <v>565</v>
      </c>
      <c r="C565" s="989"/>
      <c r="D565" s="989"/>
      <c r="E565" s="990"/>
      <c r="F565" s="450"/>
      <c r="G565" s="523"/>
      <c r="H565" s="444" t="s">
        <v>928</v>
      </c>
      <c r="I565" s="437" t="str">
        <f>+IF(OR($H$3="地域がん診療病院",$H$4="地域がん診療病院",$H$4="地域がん診療病院(特例型)"),"C","-")</f>
        <v>-</v>
      </c>
      <c r="J565" s="335"/>
      <c r="K565" s="438"/>
      <c r="M565" s="356" t="str">
        <f>IF(AND(I565="C",J565=""),"未入力あり",IF(AND(I565="C",J565&lt;&gt;""),"〇",IF(I565="-","")))</f>
        <v/>
      </c>
      <c r="O565" s="166"/>
      <c r="T565" s="375">
        <v>0</v>
      </c>
      <c r="U565" s="376">
        <v>20</v>
      </c>
    </row>
    <row r="566" spans="1:21" ht="14.25" thickBot="1">
      <c r="A566" s="336">
        <v>566</v>
      </c>
      <c r="C566" s="989"/>
      <c r="D566" s="989"/>
      <c r="E566" s="456"/>
      <c r="F566" s="457"/>
      <c r="G566" s="472"/>
      <c r="H566" s="443" t="s">
        <v>1188</v>
      </c>
      <c r="I566" s="363" t="str">
        <f>+IF(OR($H$3="地域がん診療病院",$H$4="地域がん診療病院",$H$4="地域がん診療病院(特例型)"),"A","-")</f>
        <v>-</v>
      </c>
      <c r="J566" s="335"/>
      <c r="K566" s="361"/>
      <c r="M566" s="356" t="str">
        <f t="shared" ref="M566" si="109">+IF(I566="A",IF(ISBLANK(J566),"未入力あり",IF(J566&gt;=1,"○","×")),"")</f>
        <v/>
      </c>
      <c r="O566" s="166"/>
      <c r="T566" s="375">
        <v>0</v>
      </c>
      <c r="U566" s="376">
        <v>20</v>
      </c>
    </row>
    <row r="567" spans="1:21" ht="14.25" thickBot="1">
      <c r="A567" s="336">
        <v>567</v>
      </c>
      <c r="C567" s="989"/>
      <c r="D567" s="362"/>
      <c r="E567" s="456" t="s">
        <v>808</v>
      </c>
      <c r="F567" s="457"/>
      <c r="G567" s="457"/>
      <c r="H567" s="402" t="s">
        <v>930</v>
      </c>
      <c r="I567" s="403" t="str">
        <f>+IF(OR($H$3="地域がん診療病院",$H$4="地域がん診療病院",$H$4="地域がん診療病院(特例型)"),"A","-")</f>
        <v>-</v>
      </c>
      <c r="J567" s="75"/>
      <c r="K567" s="392"/>
      <c r="M567" s="356" t="str">
        <f t="shared" ref="M567" si="110">+IF(I567="A",IF(ISBLANK(J567),"未入力あり",IF(J567="はい","○","×")),"")</f>
        <v/>
      </c>
      <c r="O567" s="166"/>
    </row>
    <row r="568" spans="1:21" ht="14.25" thickBot="1">
      <c r="A568" s="336">
        <v>568</v>
      </c>
      <c r="C568" s="989"/>
      <c r="D568" s="1067" t="s">
        <v>800</v>
      </c>
      <c r="E568" s="1068" t="s">
        <v>933</v>
      </c>
      <c r="F568" s="1069"/>
      <c r="G568" s="1069"/>
      <c r="H568" s="1070"/>
      <c r="I568" s="1071"/>
      <c r="J568" s="1070"/>
      <c r="K568" s="1072"/>
      <c r="O568" s="166"/>
    </row>
    <row r="569" spans="1:21" ht="14.25" thickBot="1">
      <c r="A569" s="336">
        <v>569</v>
      </c>
      <c r="C569" s="989"/>
      <c r="D569" s="989"/>
      <c r="E569" s="358"/>
      <c r="F569" s="358"/>
      <c r="G569" s="358"/>
      <c r="H569" s="68" t="s">
        <v>1189</v>
      </c>
      <c r="I569" s="382"/>
      <c r="J569" s="68"/>
      <c r="K569" s="383"/>
      <c r="O569" s="166"/>
    </row>
    <row r="570" spans="1:21" ht="14.25" thickBot="1">
      <c r="A570" s="336">
        <v>570</v>
      </c>
      <c r="C570" s="989"/>
      <c r="D570" s="989"/>
      <c r="E570" s="1073" t="s">
        <v>802</v>
      </c>
      <c r="F570" s="1075"/>
      <c r="G570" s="1075"/>
      <c r="H570" s="1081" t="s">
        <v>934</v>
      </c>
      <c r="I570" s="1090" t="str">
        <f>+IF(OR($H$3="地域がん診療病院",$H$4="地域がん診療病院",$H$4="地域がん診療病院(特例型)"),"A","-")</f>
        <v>-</v>
      </c>
      <c r="J570" s="75"/>
      <c r="K570" s="1066"/>
      <c r="M570" s="356" t="str">
        <f t="shared" ref="M570:M590" si="111">+IF(I570="A",IF(ISBLANK(J570),"未入力あり",IF(J570="はい","○","×")),"")</f>
        <v/>
      </c>
      <c r="O570" s="166"/>
    </row>
    <row r="571" spans="1:21" ht="27.75" thickBot="1">
      <c r="A571" s="336">
        <v>571</v>
      </c>
      <c r="C571" s="989"/>
      <c r="D571" s="989"/>
      <c r="E571" s="990"/>
      <c r="F571" s="450"/>
      <c r="G571" s="450"/>
      <c r="H571" s="408" t="s">
        <v>935</v>
      </c>
      <c r="I571" s="473" t="str">
        <f>+IF(OR($H$3="地域がん診療病院",$H$4="地域がん診療病院",$H$4="地域がん診療病院(特例型)"),"A","-")</f>
        <v>-</v>
      </c>
      <c r="J571" s="75"/>
      <c r="K571" s="410"/>
      <c r="M571" s="356" t="str">
        <f t="shared" si="111"/>
        <v/>
      </c>
      <c r="O571" s="166"/>
    </row>
    <row r="572" spans="1:21" ht="14.25" thickBot="1">
      <c r="A572" s="336">
        <v>572</v>
      </c>
      <c r="B572" s="989"/>
      <c r="C572" s="989"/>
      <c r="D572" s="989"/>
      <c r="E572" s="990"/>
      <c r="F572" s="450"/>
      <c r="G572" s="450"/>
      <c r="H572" s="444" t="s">
        <v>936</v>
      </c>
      <c r="I572" s="474" t="s">
        <v>645</v>
      </c>
      <c r="J572" s="75"/>
      <c r="K572" s="438"/>
      <c r="M572" s="356" t="str">
        <f t="shared" ref="M572" si="112">+IF(AND(OR($H$3="地域がん診療病院",$H$4="地域がん診療病院",$H$4="地域がん診療病院(特例型)"),J572=""),"未入力あり",IF(AND(OR($H$3="地域がん診療病院",$H$4="地域がん診療病院",$H$4="地域がん診療病院(特例型)"),J572&lt;&gt;""),"〇",""))</f>
        <v/>
      </c>
      <c r="O572" s="166"/>
    </row>
    <row r="573" spans="1:21" ht="14.25" thickBot="1">
      <c r="A573" s="336">
        <v>573</v>
      </c>
      <c r="B573" s="989"/>
      <c r="C573" s="989"/>
      <c r="D573" s="989"/>
      <c r="E573" s="990"/>
      <c r="F573" s="450"/>
      <c r="G573" s="450"/>
      <c r="H573" s="462" t="s">
        <v>937</v>
      </c>
      <c r="I573" s="475" t="str">
        <f>+IF(ISBLANK(J572),"A/-",IF(J572="はい","A","-"))</f>
        <v>A/-</v>
      </c>
      <c r="J573" s="75"/>
      <c r="K573" s="420"/>
      <c r="M573" s="356" t="str">
        <f t="shared" ref="M573" si="113">+IF(I573="A",IF(ISBLANK(J573),"未入力あり",IF(J573="はい","○","×")),"")</f>
        <v/>
      </c>
      <c r="O573" s="166"/>
    </row>
    <row r="574" spans="1:21" ht="14.25" thickBot="1">
      <c r="A574" s="336">
        <v>574</v>
      </c>
      <c r="B574" s="989"/>
      <c r="C574" s="989"/>
      <c r="D574" s="989"/>
      <c r="E574" s="990"/>
      <c r="F574" s="450"/>
      <c r="G574" s="450"/>
      <c r="H574" s="444" t="s">
        <v>938</v>
      </c>
      <c r="I574" s="474" t="s">
        <v>645</v>
      </c>
      <c r="J574" s="75"/>
      <c r="K574" s="438"/>
      <c r="M574" s="356" t="str">
        <f t="shared" ref="M574" si="114">+IF(AND(OR($H$3="地域がん診療病院",$H$4="地域がん診療病院",$H$4="地域がん診療病院(特例型)"),J574=""),"未入力あり",IF(AND(OR($H$3="地域がん診療病院",$H$4="地域がん診療病院",$H$4="地域がん診療病院(特例型)"),J574&lt;&gt;""),"〇",""))</f>
        <v/>
      </c>
      <c r="O574" s="166"/>
    </row>
    <row r="575" spans="1:21" ht="14.25" thickBot="1">
      <c r="A575" s="336">
        <v>575</v>
      </c>
      <c r="B575" s="989"/>
      <c r="C575" s="989"/>
      <c r="D575" s="989"/>
      <c r="E575" s="990"/>
      <c r="F575" s="450"/>
      <c r="G575" s="450"/>
      <c r="H575" s="462" t="s">
        <v>937</v>
      </c>
      <c r="I575" s="475" t="str">
        <f>+IF(ISBLANK(J574),"A/-",IF(J574="はい","A","-"))</f>
        <v>A/-</v>
      </c>
      <c r="J575" s="75"/>
      <c r="K575" s="420"/>
      <c r="M575" s="356" t="str">
        <f t="shared" ref="M575" si="115">+IF(I575="A",IF(ISBLANK(J575),"未入力あり",IF(J575="はい","○","×")),"")</f>
        <v/>
      </c>
      <c r="O575" s="166"/>
    </row>
    <row r="576" spans="1:21" ht="14.25" thickBot="1">
      <c r="A576" s="336">
        <v>576</v>
      </c>
      <c r="B576" s="989"/>
      <c r="C576" s="989"/>
      <c r="D576" s="989"/>
      <c r="E576" s="990"/>
      <c r="F576" s="450"/>
      <c r="G576" s="450"/>
      <c r="H576" s="444" t="s">
        <v>939</v>
      </c>
      <c r="I576" s="474" t="s">
        <v>645</v>
      </c>
      <c r="J576" s="75"/>
      <c r="K576" s="438"/>
      <c r="M576" s="356" t="str">
        <f t="shared" ref="M576" si="116">+IF(AND(OR($H$3="地域がん診療病院",$H$4="地域がん診療病院",$H$4="地域がん診療病院(特例型)"),J576=""),"未入力あり",IF(AND(OR($H$3="地域がん診療病院",$H$4="地域がん診療病院",$H$4="地域がん診療病院(特例型)"),J576&lt;&gt;""),"〇",""))</f>
        <v/>
      </c>
      <c r="O576" s="166"/>
    </row>
    <row r="577" spans="1:15" ht="14.25" thickBot="1">
      <c r="A577" s="336">
        <v>577</v>
      </c>
      <c r="B577" s="989"/>
      <c r="C577" s="989"/>
      <c r="D577" s="989"/>
      <c r="E577" s="990"/>
      <c r="F577" s="450"/>
      <c r="G577" s="450"/>
      <c r="H577" s="462" t="s">
        <v>937</v>
      </c>
      <c r="I577" s="475" t="str">
        <f>+IF(ISBLANK(J576),"A/-",IF(J576="はい","A","-"))</f>
        <v>A/-</v>
      </c>
      <c r="J577" s="75"/>
      <c r="K577" s="420"/>
      <c r="M577" s="356" t="str">
        <f t="shared" ref="M577" si="117">+IF(I577="A",IF(ISBLANK(J577),"未入力あり",IF(J577="はい","○","×")),"")</f>
        <v/>
      </c>
      <c r="O577" s="166"/>
    </row>
    <row r="578" spans="1:15" ht="14.25" thickBot="1">
      <c r="A578" s="336">
        <v>578</v>
      </c>
      <c r="B578" s="989"/>
      <c r="C578" s="989"/>
      <c r="D578" s="989"/>
      <c r="E578" s="990"/>
      <c r="F578" s="450"/>
      <c r="G578" s="450"/>
      <c r="H578" s="444" t="s">
        <v>940</v>
      </c>
      <c r="I578" s="474" t="s">
        <v>645</v>
      </c>
      <c r="J578" s="75"/>
      <c r="K578" s="438"/>
      <c r="M578" s="356" t="str">
        <f t="shared" ref="M578" si="118">+IF(AND(OR($H$3="地域がん診療病院",$H$4="地域がん診療病院",$H$4="地域がん診療病院(特例型)"),J578=""),"未入力あり",IF(AND(OR($H$3="地域がん診療病院",$H$4="地域がん診療病院",$H$4="地域がん診療病院(特例型)"),J578&lt;&gt;""),"〇",""))</f>
        <v/>
      </c>
      <c r="O578" s="166"/>
    </row>
    <row r="579" spans="1:15" ht="14.25" thickBot="1">
      <c r="A579" s="336">
        <v>579</v>
      </c>
      <c r="B579" s="989"/>
      <c r="C579" s="989"/>
      <c r="D579" s="989"/>
      <c r="E579" s="990"/>
      <c r="F579" s="450"/>
      <c r="G579" s="450"/>
      <c r="H579" s="462" t="s">
        <v>937</v>
      </c>
      <c r="I579" s="475" t="str">
        <f>+IF(ISBLANK(J578),"A/-",IF(J578="はい","A","-"))</f>
        <v>A/-</v>
      </c>
      <c r="J579" s="75"/>
      <c r="K579" s="420"/>
      <c r="M579" s="356" t="str">
        <f t="shared" ref="M579" si="119">+IF(I579="A",IF(ISBLANK(J579),"未入力あり",IF(J579="はい","○","×")),"")</f>
        <v/>
      </c>
      <c r="O579" s="166"/>
    </row>
    <row r="580" spans="1:15" ht="14.25" thickBot="1">
      <c r="A580" s="336">
        <v>580</v>
      </c>
      <c r="B580" s="989"/>
      <c r="C580" s="989"/>
      <c r="D580" s="989"/>
      <c r="E580" s="990"/>
      <c r="F580" s="450"/>
      <c r="G580" s="450"/>
      <c r="H580" s="444" t="s">
        <v>941</v>
      </c>
      <c r="I580" s="474" t="s">
        <v>645</v>
      </c>
      <c r="J580" s="75"/>
      <c r="K580" s="438"/>
      <c r="M580" s="356" t="str">
        <f t="shared" ref="M580" si="120">+IF(AND(OR($H$3="地域がん診療病院",$H$4="地域がん診療病院",$H$4="地域がん診療病院(特例型)"),J580=""),"未入力あり",IF(AND(OR($H$3="地域がん診療病院",$H$4="地域がん診療病院",$H$4="地域がん診療病院(特例型)"),J580&lt;&gt;""),"〇",""))</f>
        <v/>
      </c>
      <c r="O580" s="166"/>
    </row>
    <row r="581" spans="1:15" ht="14.25" thickBot="1">
      <c r="A581" s="336">
        <v>581</v>
      </c>
      <c r="B581" s="989"/>
      <c r="C581" s="989"/>
      <c r="D581" s="989"/>
      <c r="E581" s="990"/>
      <c r="F581" s="450"/>
      <c r="G581" s="450"/>
      <c r="H581" s="462" t="s">
        <v>937</v>
      </c>
      <c r="I581" s="475" t="str">
        <f>+IF(ISBLANK(J580),"A/-",IF(J580="はい","A","-"))</f>
        <v>A/-</v>
      </c>
      <c r="J581" s="75"/>
      <c r="K581" s="420"/>
      <c r="M581" s="356" t="str">
        <f t="shared" ref="M581" si="121">+IF(I581="A",IF(ISBLANK(J581),"未入力あり",IF(J581="はい","○","×")),"")</f>
        <v/>
      </c>
      <c r="O581" s="166"/>
    </row>
    <row r="582" spans="1:15" ht="14.25" thickBot="1">
      <c r="A582" s="336">
        <v>582</v>
      </c>
      <c r="C582" s="989"/>
      <c r="D582" s="989"/>
      <c r="E582" s="990"/>
      <c r="F582" s="450"/>
      <c r="G582" s="450"/>
      <c r="H582" s="402" t="s">
        <v>942</v>
      </c>
      <c r="I582" s="476" t="str">
        <f>+IF(OR($H$3="地域がん診療病院",$H$4="地域がん診療病院",$H$4="地域がん診療病院(特例型)"),"A","-")</f>
        <v>-</v>
      </c>
      <c r="J582" s="75"/>
      <c r="K582" s="392"/>
      <c r="M582" s="356" t="str">
        <f t="shared" si="111"/>
        <v/>
      </c>
      <c r="O582" s="166"/>
    </row>
    <row r="583" spans="1:15" ht="14.25" thickBot="1">
      <c r="A583" s="336">
        <v>583</v>
      </c>
      <c r="C583" s="989"/>
      <c r="D583" s="989"/>
      <c r="E583" s="1073" t="s">
        <v>805</v>
      </c>
      <c r="F583" s="1075"/>
      <c r="G583" s="1075"/>
      <c r="H583" s="1081" t="s">
        <v>943</v>
      </c>
      <c r="I583" s="1090" t="str">
        <f>+IF(OR($H$3="地域がん診療病院",$H$4="地域がん診療病院",$H$4="地域がん診療病院(特例型)"),"A","-")</f>
        <v>-</v>
      </c>
      <c r="J583" s="75"/>
      <c r="K583" s="1066"/>
      <c r="M583" s="356" t="str">
        <f t="shared" si="111"/>
        <v/>
      </c>
      <c r="O583" s="166"/>
    </row>
    <row r="584" spans="1:15" ht="27.75" thickBot="1">
      <c r="A584" s="336">
        <v>584</v>
      </c>
      <c r="C584" s="989"/>
      <c r="D584" s="989"/>
      <c r="E584" s="990"/>
      <c r="F584" s="450"/>
      <c r="G584" s="450"/>
      <c r="H584" s="359" t="s">
        <v>944</v>
      </c>
      <c r="I584" s="360" t="str">
        <f>+IF(OR($H$3="地域がん診療病院",$H$4="地域がん診療病院",$H$4="地域がん診療病院(特例型)"),"A","-")</f>
        <v>-</v>
      </c>
      <c r="J584" s="75"/>
      <c r="K584" s="361"/>
      <c r="M584" s="356" t="str">
        <f t="shared" si="111"/>
        <v/>
      </c>
      <c r="O584" s="166"/>
    </row>
    <row r="585" spans="1:15" ht="14.25" thickBot="1">
      <c r="A585" s="336">
        <v>585</v>
      </c>
      <c r="C585" s="989"/>
      <c r="D585" s="989"/>
      <c r="E585" s="1073" t="s">
        <v>808</v>
      </c>
      <c r="F585" s="1075"/>
      <c r="G585" s="1075"/>
      <c r="H585" s="1081" t="s">
        <v>1190</v>
      </c>
      <c r="I585" s="382" t="str">
        <f>+IF(OR($H$3="地域がん診療病院",$H$4="地域がん診療病院",$H$4="地域がん診療病院(特例型)"),"A","-")</f>
        <v>-</v>
      </c>
      <c r="J585" s="75"/>
      <c r="K585" s="383"/>
      <c r="M585" s="356" t="str">
        <f t="shared" si="111"/>
        <v/>
      </c>
      <c r="O585" s="166"/>
    </row>
    <row r="586" spans="1:15" ht="14.25" thickBot="1">
      <c r="A586" s="336">
        <v>586</v>
      </c>
      <c r="C586" s="989"/>
      <c r="D586" s="989"/>
      <c r="E586" s="456"/>
      <c r="F586" s="457"/>
      <c r="G586" s="472"/>
      <c r="H586" s="384" t="s">
        <v>946</v>
      </c>
      <c r="I586" s="479" t="s">
        <v>645</v>
      </c>
      <c r="J586" s="89"/>
      <c r="K586" s="480" t="s">
        <v>1191</v>
      </c>
      <c r="M586" s="356" t="str">
        <f t="shared" ref="M586" si="122">+IF(AND(OR($H$3="地域がん診療病院",$H$4="地域がん診療病院",$H$4="地域がん診療病院(特例型)"),J586=""),"未入力あり",IF(AND(OR($H$3="地域がん診療病院",$H$4="地域がん診療病院",$H$4="地域がん診療病院(特例型)"),J586&lt;&gt;""),"〇",""))</f>
        <v/>
      </c>
      <c r="O586" s="166"/>
    </row>
    <row r="587" spans="1:15" ht="14.25" thickBot="1">
      <c r="A587" s="336">
        <v>587</v>
      </c>
      <c r="C587" s="989"/>
      <c r="D587" s="989"/>
      <c r="E587" s="451" t="s">
        <v>810</v>
      </c>
      <c r="F587" s="452"/>
      <c r="G587" s="452"/>
      <c r="H587" s="68" t="s">
        <v>948</v>
      </c>
      <c r="I587" s="382" t="str">
        <f>+IF(OR($H$3="地域がん診療病院",$H$4="地域がん診療病院",$H$4="地域がん診療病院(特例型)"),"A","-")</f>
        <v>-</v>
      </c>
      <c r="J587" s="75"/>
      <c r="K587" s="383"/>
      <c r="M587" s="356" t="str">
        <f t="shared" si="111"/>
        <v/>
      </c>
      <c r="O587" s="166"/>
    </row>
    <row r="588" spans="1:15" ht="27.75" thickBot="1">
      <c r="A588" s="336">
        <v>588</v>
      </c>
      <c r="C588" s="989"/>
      <c r="D588" s="989"/>
      <c r="E588" s="456" t="s">
        <v>911</v>
      </c>
      <c r="F588" s="457"/>
      <c r="G588" s="457"/>
      <c r="H588" s="402" t="s">
        <v>949</v>
      </c>
      <c r="I588" s="403" t="str">
        <f>+IF(OR($H$3="地域がん診療病院",$H$4="地域がん診療病院",$H$4="地域がん診療病院(特例型)"),"A","-")</f>
        <v>-</v>
      </c>
      <c r="J588" s="75"/>
      <c r="K588" s="392" t="s">
        <v>1192</v>
      </c>
      <c r="M588" s="356" t="str">
        <f t="shared" si="111"/>
        <v/>
      </c>
      <c r="O588" s="166"/>
    </row>
    <row r="589" spans="1:15" ht="27.75" thickBot="1">
      <c r="A589" s="336">
        <v>589</v>
      </c>
      <c r="C589" s="989"/>
      <c r="D589" s="989"/>
      <c r="E589" s="990" t="s">
        <v>914</v>
      </c>
      <c r="F589" s="450"/>
      <c r="G589" s="450"/>
      <c r="H589" s="429" t="s">
        <v>951</v>
      </c>
      <c r="I589" s="430" t="str">
        <f>+IF(OR($H$3="地域がん診療病院",$H$4="地域がん診療病院",$H$4="地域がん診療病院(特例型)"),"A","-")</f>
        <v>-</v>
      </c>
      <c r="J589" s="75"/>
      <c r="K589" s="401"/>
      <c r="M589" s="356" t="str">
        <f t="shared" si="111"/>
        <v/>
      </c>
      <c r="O589" s="166"/>
    </row>
    <row r="590" spans="1:15" ht="27.75" thickBot="1">
      <c r="A590" s="336">
        <v>590</v>
      </c>
      <c r="C590" s="362"/>
      <c r="D590" s="362"/>
      <c r="E590" s="456"/>
      <c r="F590" s="457"/>
      <c r="G590" s="457"/>
      <c r="H590" s="359" t="s">
        <v>1193</v>
      </c>
      <c r="I590" s="360" t="str">
        <f>+IF(OR($H$3="地域がん診療病院",$H$4="地域がん診療病院",$H$4="地域がん診療病院(特例型)"),"A","-")</f>
        <v>-</v>
      </c>
      <c r="J590" s="75"/>
      <c r="K590" s="361"/>
      <c r="M590" s="356" t="str">
        <f t="shared" si="111"/>
        <v/>
      </c>
      <c r="O590" s="166"/>
    </row>
    <row r="591" spans="1:15" ht="14.25" thickBot="1">
      <c r="A591" s="336">
        <v>591</v>
      </c>
      <c r="C591" s="1058" t="s">
        <v>953</v>
      </c>
      <c r="D591" s="1059" t="s">
        <v>954</v>
      </c>
      <c r="E591" s="1060"/>
      <c r="F591" s="1060"/>
      <c r="G591" s="1060"/>
      <c r="H591" s="1061"/>
      <c r="I591" s="1062"/>
      <c r="J591" s="1061"/>
      <c r="K591" s="1063"/>
      <c r="O591" s="166"/>
    </row>
    <row r="592" spans="1:15" ht="14.25" thickBot="1">
      <c r="A592" s="336">
        <v>592</v>
      </c>
      <c r="C592" s="989"/>
      <c r="D592" s="1089" t="s">
        <v>853</v>
      </c>
      <c r="E592" s="1069"/>
      <c r="F592" s="1069"/>
      <c r="G592" s="1069"/>
      <c r="H592" s="1081" t="s">
        <v>1194</v>
      </c>
      <c r="I592" s="1090" t="str">
        <f>+IF(OR($H$3="地域がん診療病院",$H$4="地域がん診療病院",$H$4="地域がん診療病院(特例型)"),"A","-")</f>
        <v>-</v>
      </c>
      <c r="J592" s="75"/>
      <c r="K592" s="1066"/>
      <c r="M592" s="356" t="str">
        <f t="shared" ref="M592:M593" si="123">+IF(I592="A",IF(ISBLANK(J592),"未入力あり",IF(J592="はい","○","×")),"")</f>
        <v/>
      </c>
      <c r="O592" s="166"/>
    </row>
    <row r="593" spans="1:21" ht="45.75" customHeight="1" thickBot="1">
      <c r="A593" s="336">
        <v>593</v>
      </c>
      <c r="C593" s="989"/>
      <c r="D593" s="1006"/>
      <c r="E593" s="458"/>
      <c r="F593" s="458"/>
      <c r="G593" s="458"/>
      <c r="H593" s="359" t="s">
        <v>1195</v>
      </c>
      <c r="I593" s="477" t="str">
        <f>+IF(OR($H$3="地域がん診療病院",$H$4="地域がん診療病院",$H$4="地域がん診療病院(特例型)"),"A","-")</f>
        <v>-</v>
      </c>
      <c r="J593" s="75"/>
      <c r="K593" s="361" t="s">
        <v>1196</v>
      </c>
      <c r="M593" s="356" t="str">
        <f t="shared" si="123"/>
        <v/>
      </c>
      <c r="O593" s="166"/>
    </row>
    <row r="594" spans="1:21" ht="14.25" thickBot="1">
      <c r="A594" s="336">
        <v>594</v>
      </c>
      <c r="C594" s="989"/>
      <c r="D594" s="1089" t="s">
        <v>857</v>
      </c>
      <c r="E594" s="1069"/>
      <c r="F594" s="1069"/>
      <c r="G594" s="1069"/>
      <c r="H594" s="1081" t="s">
        <v>1197</v>
      </c>
      <c r="I594" s="1090"/>
      <c r="J594" s="1082"/>
      <c r="K594" s="1066"/>
      <c r="O594" s="166"/>
    </row>
    <row r="595" spans="1:21" ht="14.25" thickBot="1">
      <c r="A595" s="336">
        <v>595</v>
      </c>
      <c r="C595" s="989"/>
      <c r="D595" s="1006"/>
      <c r="E595" s="458"/>
      <c r="F595" s="458"/>
      <c r="G595" s="458"/>
      <c r="H595" s="482" t="s">
        <v>960</v>
      </c>
      <c r="I595" s="483" t="s">
        <v>645</v>
      </c>
      <c r="J595" s="75"/>
      <c r="K595" s="461"/>
      <c r="M595" s="356" t="str">
        <f t="shared" ref="M595" si="124">+IF(AND(OR($H$3="地域がん診療病院",$H$4="地域がん診療病院",$H$4="地域がん診療病院(特例型)"),J595=""),"未入力あり",IF(AND(OR($H$3="地域がん診療病院",$H$4="地域がん診療病院",$H$4="地域がん診療病院(特例型)"),J595&lt;&gt;""),"〇",""))</f>
        <v/>
      </c>
      <c r="O595" s="166"/>
    </row>
    <row r="596" spans="1:21" ht="14.25" thickBot="1">
      <c r="A596" s="336">
        <v>596</v>
      </c>
      <c r="C596" s="989"/>
      <c r="D596" s="1006"/>
      <c r="E596" s="458"/>
      <c r="F596" s="458"/>
      <c r="G596" s="458"/>
      <c r="H596" s="397" t="s">
        <v>961</v>
      </c>
      <c r="I596" s="479" t="str">
        <f>+IF(OR($H$3="地域がん診療病院",$H$4="地域がん診療病院",$H$4="地域がん診療病院(特例型)"),IF(ISBLANK($J$595),"A/-",IF($J$595="はい","A","-")),"-")</f>
        <v>-</v>
      </c>
      <c r="J596" s="75"/>
      <c r="K596" s="484"/>
      <c r="M596" s="356" t="str">
        <f t="shared" ref="M596" si="125">+IF(I596="A",IF(ISBLANK(J596),"未入力あり",IF(J596="はい","○","×")),"")</f>
        <v/>
      </c>
      <c r="O596" s="166"/>
    </row>
    <row r="597" spans="1:21" ht="14.25" thickBot="1">
      <c r="A597" s="336">
        <v>597</v>
      </c>
      <c r="C597" s="989"/>
      <c r="D597" s="1006"/>
      <c r="E597" s="458"/>
      <c r="F597" s="458"/>
      <c r="G597" s="458"/>
      <c r="H597" s="462" t="s">
        <v>963</v>
      </c>
      <c r="I597" s="524" t="str">
        <f>+IF(OR($H$3="地域がん診療病院",$H$4="地域がん診療病院",$H$4="地域がん診療病院(特例型)"),IF(ISBLANK($J$595),"A/-",IF($J$595="はい","A","-")),"-")</f>
        <v>-</v>
      </c>
      <c r="J597" s="335"/>
      <c r="K597" s="480"/>
      <c r="M597" s="356" t="str">
        <f>+IF(I597="A",IF(ISBLANK(J597),"未入力あり",IF(J597&gt;=1,"○","×")),"")</f>
        <v/>
      </c>
      <c r="O597" s="166"/>
      <c r="T597" s="375">
        <v>0</v>
      </c>
      <c r="U597" s="376">
        <v>100</v>
      </c>
    </row>
    <row r="598" spans="1:21" ht="14.25" thickBot="1">
      <c r="A598" s="336">
        <v>598</v>
      </c>
      <c r="C598" s="989"/>
      <c r="D598" s="1006"/>
      <c r="E598" s="458"/>
      <c r="F598" s="458"/>
      <c r="G598" s="458"/>
      <c r="H598" s="429" t="s">
        <v>1198</v>
      </c>
      <c r="I598" s="481"/>
      <c r="J598" s="1082"/>
      <c r="K598" s="401"/>
      <c r="O598" s="166"/>
    </row>
    <row r="599" spans="1:21" ht="14.25" thickBot="1">
      <c r="A599" s="336">
        <v>599</v>
      </c>
      <c r="C599" s="989"/>
      <c r="D599" s="1006"/>
      <c r="E599" s="458"/>
      <c r="F599" s="458"/>
      <c r="G599" s="458"/>
      <c r="H599" s="482" t="s">
        <v>965</v>
      </c>
      <c r="I599" s="483" t="s">
        <v>645</v>
      </c>
      <c r="J599" s="75"/>
      <c r="K599" s="461"/>
      <c r="M599" s="356" t="str">
        <f t="shared" ref="M599" si="126">+IF(AND(OR($H$3="地域がん診療病院",$H$4="地域がん診療病院",$H$4="地域がん診療病院(特例型)"),J599=""),"未入力あり",IF(AND(OR($H$3="地域がん診療病院",$H$4="地域がん診療病院",$H$4="地域がん診療病院(特例型)"),J599&lt;&gt;""),"〇",""))</f>
        <v/>
      </c>
      <c r="O599" s="166"/>
    </row>
    <row r="600" spans="1:21" ht="14.25" thickBot="1">
      <c r="A600" s="336">
        <v>600</v>
      </c>
      <c r="C600" s="989"/>
      <c r="D600" s="1006"/>
      <c r="E600" s="458"/>
      <c r="F600" s="458"/>
      <c r="G600" s="458"/>
      <c r="H600" s="462" t="s">
        <v>966</v>
      </c>
      <c r="I600" s="525" t="str">
        <f>+IF(OR($H$3="地域がん診療病院",$H$4="地域がん診療病院",$H$4="地域がん診療病院(特例型)"),IF(ISBLANK($J$599),"A/-",IF($J$599="はい","A","-")),"-")</f>
        <v>-</v>
      </c>
      <c r="J600" s="75"/>
      <c r="K600" s="480"/>
      <c r="M600" s="356" t="str">
        <f t="shared" ref="M600:M601" si="127">+IF(I600="A",IF(ISBLANK(J600),"未入力あり",IF(J600="はい","○","×")),"")</f>
        <v/>
      </c>
      <c r="O600" s="166"/>
    </row>
    <row r="601" spans="1:21" ht="14.25" thickBot="1">
      <c r="A601" s="336">
        <v>601</v>
      </c>
      <c r="C601" s="362"/>
      <c r="D601" s="468"/>
      <c r="E601" s="469"/>
      <c r="F601" s="469"/>
      <c r="G601" s="469"/>
      <c r="H601" s="359" t="s">
        <v>968</v>
      </c>
      <c r="I601" s="477" t="str">
        <f>+IF(OR($H$3="地域がん診療病院",$H$4="地域がん診療病院",$H$4="地域がん診療病院(特例型)"),IF(OR(J595="はい",J599="はい"),"A",IF(AND(J595="いいえ",J599="いいえ"),"-","A/-")),"-")</f>
        <v>-</v>
      </c>
      <c r="J601" s="75"/>
      <c r="K601" s="361"/>
      <c r="M601" s="356" t="str">
        <f t="shared" si="127"/>
        <v/>
      </c>
      <c r="O601" s="166"/>
    </row>
    <row r="602" spans="1:21" ht="14.25" thickBot="1">
      <c r="A602" s="336">
        <v>602</v>
      </c>
      <c r="C602" s="1058" t="s">
        <v>969</v>
      </c>
      <c r="D602" s="1059" t="s">
        <v>1199</v>
      </c>
      <c r="E602" s="1060"/>
      <c r="F602" s="1060"/>
      <c r="G602" s="1060"/>
      <c r="H602" s="1061"/>
      <c r="I602" s="1062"/>
      <c r="J602" s="1061"/>
      <c r="K602" s="1063"/>
      <c r="O602" s="166"/>
    </row>
    <row r="603" spans="1:21" ht="27.75" thickBot="1">
      <c r="A603" s="336">
        <v>603</v>
      </c>
      <c r="C603" s="989"/>
      <c r="D603" s="1067" t="s">
        <v>611</v>
      </c>
      <c r="E603" s="1069"/>
      <c r="F603" s="1069"/>
      <c r="G603" s="1069"/>
      <c r="H603" s="364" t="s">
        <v>1200</v>
      </c>
      <c r="I603" s="365" t="str">
        <f>+IF(OR($H$3="地域がん診療病院",$H$4="地域がん診療病院",$H$4="地域がん診療病院(特例型)"),"A","-")</f>
        <v>-</v>
      </c>
      <c r="J603" s="75"/>
      <c r="K603" s="366"/>
      <c r="M603" s="356" t="str">
        <f t="shared" ref="M603:M605" si="128">+IF(I603="A",IF(ISBLANK(J603),"未入力あり",IF(J603="はい","○","×")),"")</f>
        <v/>
      </c>
      <c r="O603" s="166"/>
    </row>
    <row r="604" spans="1:21" ht="14.25" thickBot="1">
      <c r="A604" s="336">
        <v>604</v>
      </c>
      <c r="C604" s="989"/>
      <c r="D604" s="1006"/>
      <c r="E604" s="458"/>
      <c r="F604" s="458"/>
      <c r="G604" s="458"/>
      <c r="H604" s="429" t="s">
        <v>972</v>
      </c>
      <c r="I604" s="430" t="str">
        <f>+IF(OR($H$3="地域がん診療病院",$H$4="地域がん診療病院",$H$4="地域がん診療病院(特例型)"),"A","-")</f>
        <v>-</v>
      </c>
      <c r="J604" s="75"/>
      <c r="K604" s="401"/>
      <c r="M604" s="356" t="str">
        <f t="shared" si="128"/>
        <v/>
      </c>
      <c r="O604" s="166"/>
    </row>
    <row r="605" spans="1:21" ht="14.25" thickBot="1">
      <c r="A605" s="336">
        <v>605</v>
      </c>
      <c r="C605" s="989"/>
      <c r="D605" s="526" t="s">
        <v>754</v>
      </c>
      <c r="E605" s="466"/>
      <c r="F605" s="466"/>
      <c r="G605" s="466"/>
      <c r="H605" s="68" t="s">
        <v>1201</v>
      </c>
      <c r="I605" s="382" t="str">
        <f>+IF(OR($H$3="地域がん診療病院",$H$4="地域がん診療病院",$H$4="地域がん診療病院(特例型)"),"A","-")</f>
        <v>-</v>
      </c>
      <c r="J605" s="75"/>
      <c r="K605" s="383" t="s">
        <v>1202</v>
      </c>
      <c r="M605" s="356" t="str">
        <f t="shared" si="128"/>
        <v/>
      </c>
      <c r="O605" s="166"/>
    </row>
    <row r="606" spans="1:21" ht="35.25" customHeight="1" thickBot="1">
      <c r="A606" s="336">
        <v>606</v>
      </c>
      <c r="C606" s="989"/>
      <c r="D606" s="1009" t="s">
        <v>800</v>
      </c>
      <c r="E606" s="458"/>
      <c r="F606" s="458"/>
      <c r="G606" s="458"/>
      <c r="H606" s="429" t="s">
        <v>975</v>
      </c>
      <c r="I606" s="430" t="str">
        <f>+IF(OR($H$3="地域がん診療病院",$H$4="地域がん診療病院",$H$4="地域がん診療病院(特例型)"),"C","-")</f>
        <v>-</v>
      </c>
      <c r="J606" s="75"/>
      <c r="K606" s="401" t="s">
        <v>1203</v>
      </c>
      <c r="M606" s="356" t="str">
        <f>IF(AND(I606="C",J606=""),"未入力あり",IF(AND(I606="C",J606&lt;&gt;""),"〇",IF(I606="-","")))</f>
        <v/>
      </c>
      <c r="O606" s="166"/>
    </row>
    <row r="607" spans="1:21" ht="34.5" customHeight="1" thickBot="1">
      <c r="A607" s="336">
        <v>607</v>
      </c>
      <c r="C607" s="989"/>
      <c r="D607" s="1006"/>
      <c r="E607" s="458"/>
      <c r="F607" s="458"/>
      <c r="G607" s="467"/>
      <c r="H607" s="482" t="s">
        <v>977</v>
      </c>
      <c r="I607" s="460" t="s">
        <v>645</v>
      </c>
      <c r="J607" s="982"/>
      <c r="K607" s="461"/>
      <c r="M607" s="356" t="str">
        <f>+IF(AND($J$606="はい",J607=""),"未入力あり",IF(AND($J$606="はい",J607&lt;&gt;""),"〇",""))</f>
        <v/>
      </c>
      <c r="O607" s="166"/>
    </row>
    <row r="608" spans="1:21" ht="14.25" thickBot="1">
      <c r="A608" s="336">
        <v>608</v>
      </c>
      <c r="B608" s="358"/>
      <c r="C608" s="362"/>
      <c r="D608" s="468"/>
      <c r="E608" s="469"/>
      <c r="F608" s="469"/>
      <c r="G608" s="470"/>
      <c r="H608" s="384" t="s">
        <v>979</v>
      </c>
      <c r="I608" s="487" t="s">
        <v>645</v>
      </c>
      <c r="J608" s="335"/>
      <c r="K608" s="488"/>
      <c r="M608" s="356" t="str">
        <f>+IF(AND($J$606="はい",J608=""),"未入力あり",IF(AND($J$606="はい",J608&lt;&gt;""),"〇",""))</f>
        <v/>
      </c>
      <c r="O608" s="169"/>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2"/>
    <protectedRange sqref="J251:J260 J572:J581" name="範囲3_1"/>
    <protectedRange sqref="J251:J260 J572:J581" name="範囲2_1"/>
  </protectedRanges>
  <phoneticPr fontId="10"/>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2F86C6CF-D115-446E-99AC-D57D720A8412}">
      <formula1>0</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5" manualBreakCount="5">
    <brk id="103" max="13" man="1"/>
    <brk id="202" max="13" man="1"/>
    <brk id="301" max="16383" man="1"/>
    <brk id="402" max="13" man="1"/>
    <brk id="498"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K21"/>
  <sheetViews>
    <sheetView workbookViewId="0">
      <selection activeCell="B5" sqref="B5"/>
    </sheetView>
  </sheetViews>
  <sheetFormatPr defaultRowHeight="13.5"/>
  <cols>
    <col min="1" max="1" width="3.625" customWidth="1"/>
    <col min="2" max="2" width="9.25" style="93" bestFit="1" customWidth="1"/>
  </cols>
  <sheetData>
    <row r="1" spans="1:11" ht="17.25">
      <c r="A1" s="17" t="s">
        <v>1204</v>
      </c>
    </row>
    <row r="3" spans="1:11">
      <c r="A3" s="92" t="s">
        <v>1205</v>
      </c>
    </row>
    <row r="4" spans="1:11">
      <c r="A4" t="s">
        <v>480</v>
      </c>
      <c r="B4" s="530">
        <v>3572</v>
      </c>
      <c r="C4" t="s">
        <v>1206</v>
      </c>
    </row>
    <row r="5" spans="1:11">
      <c r="A5" t="s">
        <v>489</v>
      </c>
      <c r="B5" s="530">
        <v>1900</v>
      </c>
      <c r="C5" t="s">
        <v>1207</v>
      </c>
    </row>
    <row r="6" spans="1:11" ht="14.25" thickBot="1">
      <c r="A6" t="s">
        <v>1208</v>
      </c>
      <c r="B6" s="94">
        <f>IFERROR(B5*12,"")</f>
        <v>22800</v>
      </c>
      <c r="C6" t="s">
        <v>1209</v>
      </c>
    </row>
    <row r="7" spans="1:11" ht="14.25" thickBot="1">
      <c r="A7" t="s">
        <v>1210</v>
      </c>
      <c r="B7" s="95">
        <f>IFERROR(B4/B6,"")</f>
        <v>0.15666666666666668</v>
      </c>
      <c r="C7" t="s">
        <v>1211</v>
      </c>
    </row>
    <row r="10" spans="1:11">
      <c r="A10" s="92" t="s">
        <v>1212</v>
      </c>
    </row>
    <row r="11" spans="1:11">
      <c r="A11" t="s">
        <v>480</v>
      </c>
      <c r="B11" s="530"/>
      <c r="C11" s="59" t="s">
        <v>1213</v>
      </c>
      <c r="D11" s="59"/>
      <c r="E11" s="59"/>
      <c r="F11" s="59"/>
      <c r="G11" s="59"/>
      <c r="H11" s="59"/>
      <c r="I11" s="59"/>
      <c r="J11" s="59"/>
      <c r="K11" s="59"/>
    </row>
    <row r="12" spans="1:11">
      <c r="A12" t="s">
        <v>489</v>
      </c>
      <c r="B12" s="530"/>
      <c r="C12" t="s">
        <v>1207</v>
      </c>
    </row>
    <row r="13" spans="1:11">
      <c r="A13" t="s">
        <v>1208</v>
      </c>
      <c r="B13" s="94">
        <f>IFERROR(B12*12,"")</f>
        <v>0</v>
      </c>
      <c r="C13" t="s">
        <v>1209</v>
      </c>
    </row>
    <row r="14" spans="1:11">
      <c r="A14" t="s">
        <v>670</v>
      </c>
      <c r="B14" s="530"/>
      <c r="C14" t="s">
        <v>1214</v>
      </c>
    </row>
    <row r="15" spans="1:11">
      <c r="A15" t="s">
        <v>710</v>
      </c>
      <c r="B15" s="530"/>
      <c r="C15" t="s">
        <v>1215</v>
      </c>
    </row>
    <row r="16" spans="1:11">
      <c r="A16" t="s">
        <v>727</v>
      </c>
      <c r="B16" s="980" t="str">
        <f>IFERROR(B15/B14,"")</f>
        <v/>
      </c>
      <c r="C16" t="s">
        <v>1216</v>
      </c>
    </row>
    <row r="17" spans="1:6" ht="14.25" thickBot="1">
      <c r="A17" t="s">
        <v>736</v>
      </c>
      <c r="B17" s="1093" t="str">
        <f>IFERROR(B13*B16,"")</f>
        <v/>
      </c>
      <c r="C17" t="s">
        <v>1217</v>
      </c>
    </row>
    <row r="18" spans="1:6" ht="14.25" thickBot="1">
      <c r="A18" t="s">
        <v>1210</v>
      </c>
      <c r="B18" s="95" t="str">
        <f>IFERROR(B11/B17,"")</f>
        <v/>
      </c>
      <c r="C18" t="s">
        <v>1218</v>
      </c>
    </row>
    <row r="20" spans="1:6">
      <c r="A20" t="s">
        <v>1219</v>
      </c>
    </row>
    <row r="21" spans="1:6">
      <c r="C21" s="93"/>
      <c r="D21" s="93"/>
      <c r="E21" s="93"/>
      <c r="F21" s="93"/>
    </row>
  </sheetData>
  <sheetProtection selectLockedCells="1"/>
  <phoneticPr fontId="10"/>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zoomScaleNormal="100" zoomScaleSheetLayoutView="100" workbookViewId="0">
      <selection activeCell="B11" sqref="B11"/>
    </sheetView>
  </sheetViews>
  <sheetFormatPr defaultColWidth="9" defaultRowHeight="13.5"/>
  <cols>
    <col min="1" max="1" width="3.625" style="532" customWidth="1"/>
    <col min="2" max="2" width="9.75" style="532" customWidth="1"/>
    <col min="3" max="3" width="64.875" style="532" customWidth="1"/>
    <col min="4" max="4" width="76.625" style="532" customWidth="1"/>
    <col min="5" max="5" width="54.625" style="532" customWidth="1"/>
    <col min="6" max="6" width="10.25" style="532" customWidth="1"/>
    <col min="7" max="7" width="6" style="531" hidden="1" customWidth="1"/>
    <col min="8" max="8" width="2.625" style="532" hidden="1" customWidth="1"/>
    <col min="9" max="9" width="2.25" style="59" hidden="1" customWidth="1"/>
    <col min="10" max="10" width="80.625" style="340" customWidth="1"/>
    <col min="11" max="16384" width="9" style="532"/>
  </cols>
  <sheetData>
    <row r="1" spans="1:10" ht="20.25" customHeight="1" thickBot="1">
      <c r="A1" s="1225" t="s">
        <v>1220</v>
      </c>
      <c r="B1" s="1226"/>
      <c r="C1" s="1226"/>
      <c r="D1" s="1226"/>
      <c r="E1" s="1226"/>
      <c r="F1" s="1226"/>
      <c r="I1" s="97"/>
      <c r="J1" s="99"/>
    </row>
    <row r="2" spans="1:10" ht="24.95" customHeight="1" thickTop="1" thickBot="1">
      <c r="A2" s="1227" t="s">
        <v>1221</v>
      </c>
      <c r="B2" s="1228"/>
      <c r="C2" s="1228"/>
      <c r="D2" s="1228"/>
      <c r="E2" s="1228"/>
      <c r="F2" s="533" t="str">
        <f>IF(COUNTIF(G:G,"未入力あり")&gt;=1,"未入力あり",IF(COUNTIF(G:G,"入力済")=0,"不要","入力済"))</f>
        <v>不要</v>
      </c>
      <c r="G2" s="1237"/>
      <c r="H2" s="1234"/>
      <c r="I2" s="117"/>
    </row>
    <row r="3" spans="1:10" ht="5.0999999999999996" customHeight="1" thickTop="1">
      <c r="G3" s="1237"/>
      <c r="H3" s="1234"/>
      <c r="I3" s="534"/>
      <c r="J3" s="535"/>
    </row>
    <row r="4" spans="1:10" ht="20.100000000000001" customHeight="1">
      <c r="D4" s="536" t="s">
        <v>1222</v>
      </c>
      <c r="E4" s="1229" t="str">
        <f>表紙!E2</f>
        <v>市立豊中病院</v>
      </c>
      <c r="F4" s="1230"/>
      <c r="G4" s="1237"/>
      <c r="H4" s="1234"/>
      <c r="I4" s="537"/>
      <c r="J4" s="188" t="s">
        <v>268</v>
      </c>
    </row>
    <row r="5" spans="1:10" ht="20.100000000000001" customHeight="1">
      <c r="D5" s="536" t="s">
        <v>1223</v>
      </c>
      <c r="E5" t="str">
        <f>+'事務局使用（発出時は非表示にすること）'!B3</f>
        <v>令和６年９月１日時点</v>
      </c>
      <c r="F5"/>
      <c r="J5" s="87"/>
    </row>
    <row r="6" spans="1:10" ht="54" customHeight="1">
      <c r="A6" s="1231" t="s">
        <v>1224</v>
      </c>
      <c r="B6" s="1231"/>
      <c r="C6" s="1231"/>
      <c r="D6" s="1231"/>
      <c r="E6" s="1231"/>
      <c r="F6" s="1231"/>
      <c r="J6" s="87"/>
    </row>
    <row r="7" spans="1:10" ht="30" customHeight="1">
      <c r="A7" s="538"/>
      <c r="B7" s="539" t="s">
        <v>1225</v>
      </c>
      <c r="C7" s="1094" t="s">
        <v>100</v>
      </c>
      <c r="D7" s="1095" t="s">
        <v>1226</v>
      </c>
      <c r="E7" s="1232" t="s">
        <v>1227</v>
      </c>
      <c r="F7" s="1233"/>
      <c r="J7" s="87"/>
    </row>
    <row r="8" spans="1:10" customFormat="1" ht="62.25" customHeight="1">
      <c r="A8" s="540" t="s">
        <v>1228</v>
      </c>
      <c r="B8" s="541">
        <v>120</v>
      </c>
      <c r="C8" s="542" t="str">
        <f>+IFERROR(VLOOKUP($B8,'様式４(機能別)'!$A:$K,8,0),"")</f>
        <v>専任の放射線診断に携わる専門的な知識及び技能を有する常勤の医師の人数</v>
      </c>
      <c r="D8" s="543" t="s">
        <v>1229</v>
      </c>
      <c r="E8" s="1235" t="s">
        <v>1230</v>
      </c>
      <c r="F8" s="1236"/>
      <c r="G8" s="544"/>
      <c r="I8" s="59"/>
      <c r="J8" s="87"/>
    </row>
    <row r="9" spans="1:10" customFormat="1" ht="62.25" customHeight="1">
      <c r="A9" s="540" t="s">
        <v>1228</v>
      </c>
      <c r="B9" s="541">
        <v>176</v>
      </c>
      <c r="C9" s="542" t="str">
        <f>+IFERROR(VLOOKUP($B9,'様式４(機能別)'!$A:$K,8,0),"")</f>
        <v>放射線治療のべ患者数
（基準：年間200人以上、期間：令和５年１月１日～12月31日）</v>
      </c>
      <c r="D9" s="543" t="s">
        <v>1231</v>
      </c>
      <c r="E9" s="1235" t="s">
        <v>1232</v>
      </c>
      <c r="F9" s="1236"/>
      <c r="G9" s="544"/>
      <c r="I9" s="59"/>
      <c r="J9" s="87"/>
    </row>
    <row r="10" spans="1:10" customFormat="1" ht="62.25" customHeight="1" thickBot="1">
      <c r="A10" s="540" t="s">
        <v>1228</v>
      </c>
      <c r="B10" s="541">
        <v>278</v>
      </c>
      <c r="C10" s="542" t="str">
        <f>+IFERROR(VLOOKUP($B10,'様式４(機能別)'!$A:$K,8,0),"")</f>
        <v>治験を除く医薬品等の臨床研究を行っている。</v>
      </c>
      <c r="D10" s="543" t="s">
        <v>1233</v>
      </c>
      <c r="E10" s="1235" t="s">
        <v>1234</v>
      </c>
      <c r="F10" s="1236"/>
      <c r="G10" s="544"/>
      <c r="I10" s="59"/>
      <c r="J10" s="87"/>
    </row>
    <row r="11" spans="1:10" ht="62.25" customHeight="1" thickBot="1">
      <c r="A11" s="545">
        <v>1</v>
      </c>
      <c r="B11" s="91"/>
      <c r="C11" s="543" t="str">
        <f>+IFERROR(VLOOKUP($B11,'様式４(機能別)'!$A:$K,8,0),"")</f>
        <v/>
      </c>
      <c r="D11" s="118"/>
      <c r="E11" s="1223"/>
      <c r="F11" s="1224"/>
      <c r="G11" s="546" t="str">
        <f t="shared" ref="G11:G31" si="0">IF(B11&lt;&gt;"",IF(AND(D11&lt;&gt;"",E11&lt;&gt;""),"入力済","未入力あり"),"不要")</f>
        <v>不要</v>
      </c>
      <c r="H11" s="547"/>
      <c r="I11" s="548"/>
      <c r="J11" s="163"/>
    </row>
    <row r="12" spans="1:10" ht="62.25" customHeight="1" thickBot="1">
      <c r="A12" s="545">
        <v>2</v>
      </c>
      <c r="B12" s="91"/>
      <c r="C12" s="543" t="str">
        <f>+IFERROR(VLOOKUP($B12,'様式４(機能別)'!$A:$K,8,0),"")</f>
        <v/>
      </c>
      <c r="D12" s="118"/>
      <c r="E12" s="1223"/>
      <c r="F12" s="1224"/>
      <c r="G12" s="546" t="str">
        <f t="shared" si="0"/>
        <v>不要</v>
      </c>
      <c r="H12" s="547"/>
      <c r="J12" s="163"/>
    </row>
    <row r="13" spans="1:10" ht="62.25" customHeight="1" thickBot="1">
      <c r="A13" s="545">
        <v>3</v>
      </c>
      <c r="B13" s="91"/>
      <c r="C13" s="543" t="str">
        <f>+IFERROR(VLOOKUP($B13,'様式４(機能別)'!$A:$K,8,0),"")</f>
        <v/>
      </c>
      <c r="D13" s="118"/>
      <c r="E13" s="1223"/>
      <c r="F13" s="1224"/>
      <c r="G13" s="531" t="str">
        <f t="shared" si="0"/>
        <v>不要</v>
      </c>
      <c r="J13" s="87"/>
    </row>
    <row r="14" spans="1:10" ht="62.25" customHeight="1" thickBot="1">
      <c r="A14" s="545">
        <v>4</v>
      </c>
      <c r="B14" s="91"/>
      <c r="C14" s="543" t="str">
        <f>+IFERROR(VLOOKUP($B14,'様式４(機能別)'!$A:$K,8,0),"")</f>
        <v/>
      </c>
      <c r="D14" s="118"/>
      <c r="E14" s="1223"/>
      <c r="F14" s="1224"/>
      <c r="G14" s="531" t="str">
        <f t="shared" si="0"/>
        <v>不要</v>
      </c>
      <c r="J14" s="87"/>
    </row>
    <row r="15" spans="1:10" ht="62.25" customHeight="1" thickBot="1">
      <c r="A15" s="545">
        <v>5</v>
      </c>
      <c r="B15" s="91"/>
      <c r="C15" s="543" t="str">
        <f>+IFERROR(VLOOKUP($B15,'様式４(機能別)'!$A:$K,8,0),"")</f>
        <v/>
      </c>
      <c r="D15" s="118"/>
      <c r="E15" s="1223"/>
      <c r="F15" s="1224"/>
      <c r="G15" s="546" t="str">
        <f t="shared" si="0"/>
        <v>不要</v>
      </c>
      <c r="H15" s="549"/>
      <c r="I15" s="548"/>
      <c r="J15" s="87"/>
    </row>
    <row r="16" spans="1:10" ht="62.25" customHeight="1" thickBot="1">
      <c r="A16" s="545">
        <v>6</v>
      </c>
      <c r="B16" s="91"/>
      <c r="C16" s="543" t="str">
        <f>+IFERROR(VLOOKUP($B16,'様式４(機能別)'!$A:$K,8,0),"")</f>
        <v/>
      </c>
      <c r="D16" s="118"/>
      <c r="E16" s="1223"/>
      <c r="F16" s="1224"/>
      <c r="G16" s="546" t="str">
        <f t="shared" si="0"/>
        <v>不要</v>
      </c>
      <c r="H16" s="549"/>
      <c r="J16" s="87"/>
    </row>
    <row r="17" spans="1:10" ht="62.25" customHeight="1" thickBot="1">
      <c r="A17" s="545">
        <v>7</v>
      </c>
      <c r="B17" s="91"/>
      <c r="C17" s="543" t="str">
        <f>+IFERROR(VLOOKUP($B17,'様式４(機能別)'!$A:$K,8,0),"")</f>
        <v/>
      </c>
      <c r="D17" s="118"/>
      <c r="E17" s="1223"/>
      <c r="F17" s="1224"/>
      <c r="G17" s="531" t="str">
        <f t="shared" si="0"/>
        <v>不要</v>
      </c>
      <c r="J17" s="87"/>
    </row>
    <row r="18" spans="1:10" ht="62.25" customHeight="1" thickBot="1">
      <c r="A18" s="545">
        <v>8</v>
      </c>
      <c r="B18" s="91"/>
      <c r="C18" s="543" t="str">
        <f>+IFERROR(VLOOKUP($B18,'様式４(機能別)'!$A:$K,8,0),"")</f>
        <v/>
      </c>
      <c r="D18" s="118"/>
      <c r="E18" s="1223"/>
      <c r="F18" s="1224"/>
      <c r="G18" s="531" t="str">
        <f t="shared" si="0"/>
        <v>不要</v>
      </c>
      <c r="J18" s="87"/>
    </row>
    <row r="19" spans="1:10" ht="62.25" customHeight="1" thickBot="1">
      <c r="A19" s="545">
        <v>9</v>
      </c>
      <c r="B19" s="91"/>
      <c r="C19" s="543" t="str">
        <f>+IFERROR(VLOOKUP($B19,'様式４(機能別)'!$A:$K,8,0),"")</f>
        <v/>
      </c>
      <c r="D19" s="118"/>
      <c r="E19" s="1223"/>
      <c r="F19" s="1224"/>
      <c r="G19" s="531" t="str">
        <f t="shared" si="0"/>
        <v>不要</v>
      </c>
      <c r="J19" s="87"/>
    </row>
    <row r="20" spans="1:10" ht="62.25" customHeight="1" thickBot="1">
      <c r="A20" s="545">
        <v>10</v>
      </c>
      <c r="B20" s="91"/>
      <c r="C20" s="543" t="str">
        <f>+IFERROR(VLOOKUP($B20,'様式４(機能別)'!$A:$K,8,0),"")</f>
        <v/>
      </c>
      <c r="D20" s="118"/>
      <c r="E20" s="1223"/>
      <c r="F20" s="1224"/>
      <c r="G20" s="531" t="str">
        <f t="shared" si="0"/>
        <v>不要</v>
      </c>
      <c r="J20" s="87"/>
    </row>
    <row r="21" spans="1:10" ht="62.25" customHeight="1" thickBot="1">
      <c r="A21" s="545">
        <v>11</v>
      </c>
      <c r="B21" s="91"/>
      <c r="C21" s="543" t="str">
        <f>+IFERROR(VLOOKUP($B21,'様式４(機能別)'!$A:$K,8,0),"")</f>
        <v/>
      </c>
      <c r="D21" s="118"/>
      <c r="E21" s="1223"/>
      <c r="F21" s="1224"/>
      <c r="G21" s="531" t="str">
        <f t="shared" si="0"/>
        <v>不要</v>
      </c>
      <c r="J21" s="87"/>
    </row>
    <row r="22" spans="1:10" ht="62.25" customHeight="1" thickBot="1">
      <c r="A22" s="545">
        <v>12</v>
      </c>
      <c r="B22" s="91"/>
      <c r="C22" s="543" t="str">
        <f>+IFERROR(VLOOKUP($B22,'様式４(機能別)'!$A:$K,8,0),"")</f>
        <v/>
      </c>
      <c r="D22" s="118"/>
      <c r="E22" s="1223"/>
      <c r="F22" s="1224"/>
      <c r="G22" s="531" t="str">
        <f t="shared" si="0"/>
        <v>不要</v>
      </c>
      <c r="J22" s="87"/>
    </row>
    <row r="23" spans="1:10" ht="62.25" customHeight="1" thickBot="1">
      <c r="A23" s="545">
        <v>13</v>
      </c>
      <c r="B23" s="91"/>
      <c r="C23" s="543" t="str">
        <f>+IFERROR(VLOOKUP($B23,'様式４(機能別)'!$A:$K,8,0),"")</f>
        <v/>
      </c>
      <c r="D23" s="118"/>
      <c r="E23" s="1223"/>
      <c r="F23" s="1224"/>
      <c r="G23" s="531" t="str">
        <f t="shared" si="0"/>
        <v>不要</v>
      </c>
      <c r="J23" s="87"/>
    </row>
    <row r="24" spans="1:10" ht="62.25" customHeight="1" thickBot="1">
      <c r="A24" s="545">
        <v>14</v>
      </c>
      <c r="B24" s="91"/>
      <c r="C24" s="543" t="str">
        <f>+IFERROR(VLOOKUP($B24,'様式４(機能別)'!$A:$K,8,0),"")</f>
        <v/>
      </c>
      <c r="D24" s="118"/>
      <c r="E24" s="1223"/>
      <c r="F24" s="1224"/>
      <c r="G24" s="531" t="str">
        <f t="shared" si="0"/>
        <v>不要</v>
      </c>
      <c r="J24" s="87"/>
    </row>
    <row r="25" spans="1:10" ht="62.25" customHeight="1" thickBot="1">
      <c r="A25" s="545">
        <v>15</v>
      </c>
      <c r="B25" s="91"/>
      <c r="C25" s="543" t="str">
        <f>+IFERROR(VLOOKUP($B25,'様式４(機能別)'!$A:$K,8,0),"")</f>
        <v/>
      </c>
      <c r="D25" s="118"/>
      <c r="E25" s="1223"/>
      <c r="F25" s="1224"/>
      <c r="G25" s="531" t="str">
        <f t="shared" si="0"/>
        <v>不要</v>
      </c>
      <c r="I25" s="550"/>
      <c r="J25" s="973"/>
    </row>
    <row r="26" spans="1:10" ht="62.25" customHeight="1" thickBot="1">
      <c r="A26" s="545">
        <v>16</v>
      </c>
      <c r="B26" s="91"/>
      <c r="C26" s="543" t="str">
        <f>+IFERROR(VLOOKUP($B26,'様式４(機能別)'!$A:$K,8,0),"")</f>
        <v/>
      </c>
      <c r="D26" s="118"/>
      <c r="E26" s="1223"/>
      <c r="F26" s="1224"/>
      <c r="G26" s="531" t="str">
        <f t="shared" si="0"/>
        <v>不要</v>
      </c>
      <c r="J26" s="973"/>
    </row>
    <row r="27" spans="1:10" ht="62.25" customHeight="1" thickBot="1">
      <c r="A27" s="545">
        <v>17</v>
      </c>
      <c r="B27" s="91"/>
      <c r="C27" s="543" t="str">
        <f>+IFERROR(VLOOKUP($B27,'様式４(機能別)'!$A:$K,8,0),"")</f>
        <v/>
      </c>
      <c r="D27" s="118"/>
      <c r="E27" s="1223"/>
      <c r="F27" s="1224"/>
      <c r="G27" s="531" t="str">
        <f t="shared" si="0"/>
        <v>不要</v>
      </c>
      <c r="J27" s="973"/>
    </row>
    <row r="28" spans="1:10" ht="62.25" customHeight="1" thickBot="1">
      <c r="A28" s="545">
        <v>18</v>
      </c>
      <c r="B28" s="91"/>
      <c r="C28" s="543" t="str">
        <f>+IFERROR(VLOOKUP($B28,'様式４(機能別)'!$A:$K,8,0),"")</f>
        <v/>
      </c>
      <c r="D28" s="118"/>
      <c r="E28" s="1223"/>
      <c r="F28" s="1224"/>
      <c r="G28" s="531" t="str">
        <f t="shared" si="0"/>
        <v>不要</v>
      </c>
      <c r="J28" s="973"/>
    </row>
    <row r="29" spans="1:10" ht="62.25" customHeight="1" thickBot="1">
      <c r="A29" s="545">
        <v>19</v>
      </c>
      <c r="B29" s="91"/>
      <c r="C29" s="543" t="str">
        <f>+IFERROR(VLOOKUP($B29,'様式４(機能別)'!$A:$K,8,0),"")</f>
        <v/>
      </c>
      <c r="D29" s="118"/>
      <c r="E29" s="1223"/>
      <c r="F29" s="1224"/>
      <c r="G29" s="531" t="str">
        <f t="shared" si="0"/>
        <v>不要</v>
      </c>
      <c r="J29" s="973"/>
    </row>
    <row r="30" spans="1:10" ht="62.25" customHeight="1" thickBot="1">
      <c r="A30" s="545">
        <v>20</v>
      </c>
      <c r="B30" s="91"/>
      <c r="C30" s="543" t="str">
        <f>+IFERROR(VLOOKUP($B30,'様式４(機能別)'!$A:$K,8,0),"")</f>
        <v/>
      </c>
      <c r="D30" s="118"/>
      <c r="E30" s="1223"/>
      <c r="F30" s="1224"/>
      <c r="G30" s="531" t="str">
        <f t="shared" si="0"/>
        <v>不要</v>
      </c>
      <c r="J30" s="973"/>
    </row>
    <row r="31" spans="1:10" ht="62.25" customHeight="1" thickBot="1">
      <c r="A31" s="545">
        <v>21</v>
      </c>
      <c r="B31" s="91"/>
      <c r="C31" s="543" t="str">
        <f>+IFERROR(VLOOKUP($B31,'様式４(機能別)'!$A:$K,8,0),"")</f>
        <v/>
      </c>
      <c r="D31" s="118"/>
      <c r="E31" s="1223"/>
      <c r="F31" s="1224"/>
      <c r="G31" s="531" t="str">
        <f t="shared" si="0"/>
        <v>不要</v>
      </c>
      <c r="J31" s="973"/>
    </row>
    <row r="32" spans="1:10" ht="62.25" customHeight="1" thickBot="1">
      <c r="A32" s="545">
        <v>22</v>
      </c>
      <c r="B32" s="91"/>
      <c r="C32" s="543" t="str">
        <f>+IFERROR(VLOOKUP($B32,'様式４(機能別)'!$A:$K,8,0),"")</f>
        <v/>
      </c>
      <c r="D32" s="118"/>
      <c r="E32" s="1223"/>
      <c r="F32" s="1224"/>
      <c r="G32" s="531" t="str">
        <f t="shared" ref="G32:G50" si="1">IF(B32&lt;&gt;"",IF(AND(D32&lt;&gt;"",E32&lt;&gt;""),"入力済","未入力あり"),"不要")</f>
        <v>不要</v>
      </c>
      <c r="J32" s="973"/>
    </row>
    <row r="33" spans="1:10" ht="62.25" customHeight="1" thickBot="1">
      <c r="A33" s="545">
        <v>23</v>
      </c>
      <c r="B33" s="91"/>
      <c r="C33" s="543" t="str">
        <f>+IFERROR(VLOOKUP($B33,'様式４(機能別)'!$A:$K,8,0),"")</f>
        <v/>
      </c>
      <c r="D33" s="118"/>
      <c r="E33" s="1223"/>
      <c r="F33" s="1224"/>
      <c r="G33" s="531" t="str">
        <f t="shared" si="1"/>
        <v>不要</v>
      </c>
      <c r="J33" s="973"/>
    </row>
    <row r="34" spans="1:10" ht="62.25" customHeight="1" thickBot="1">
      <c r="A34" s="545">
        <v>24</v>
      </c>
      <c r="B34" s="91"/>
      <c r="C34" s="543" t="str">
        <f>+IFERROR(VLOOKUP($B34,'様式４(機能別)'!$A:$K,8,0),"")</f>
        <v/>
      </c>
      <c r="D34" s="118"/>
      <c r="E34" s="1223"/>
      <c r="F34" s="1224"/>
      <c r="G34" s="531" t="str">
        <f t="shared" si="1"/>
        <v>不要</v>
      </c>
      <c r="J34" s="973"/>
    </row>
    <row r="35" spans="1:10" ht="62.25" customHeight="1" thickBot="1">
      <c r="A35" s="545">
        <v>25</v>
      </c>
      <c r="B35" s="91"/>
      <c r="C35" s="543" t="str">
        <f>+IFERROR(VLOOKUP($B35,'様式４(機能別)'!$A:$K,8,0),"")</f>
        <v/>
      </c>
      <c r="D35" s="118"/>
      <c r="E35" s="1223"/>
      <c r="F35" s="1224"/>
      <c r="G35" s="531" t="str">
        <f t="shared" si="1"/>
        <v>不要</v>
      </c>
      <c r="J35" s="973"/>
    </row>
    <row r="36" spans="1:10" ht="62.25" customHeight="1" thickBot="1">
      <c r="A36" s="545">
        <v>26</v>
      </c>
      <c r="B36" s="91"/>
      <c r="C36" s="543" t="str">
        <f>+IFERROR(VLOOKUP($B36,'様式４(機能別)'!$A:$K,8,0),"")</f>
        <v/>
      </c>
      <c r="D36" s="118"/>
      <c r="E36" s="1223"/>
      <c r="F36" s="1224"/>
      <c r="G36" s="531" t="str">
        <f t="shared" si="1"/>
        <v>不要</v>
      </c>
      <c r="J36" s="973"/>
    </row>
    <row r="37" spans="1:10" ht="62.25" customHeight="1" thickBot="1">
      <c r="A37" s="545">
        <v>27</v>
      </c>
      <c r="B37" s="91"/>
      <c r="C37" s="543" t="str">
        <f>+IFERROR(VLOOKUP($B37,'様式４(機能別)'!$A:$K,8,0),"")</f>
        <v/>
      </c>
      <c r="D37" s="118"/>
      <c r="E37" s="1223"/>
      <c r="F37" s="1224"/>
      <c r="G37" s="531" t="str">
        <f t="shared" si="1"/>
        <v>不要</v>
      </c>
      <c r="J37" s="973"/>
    </row>
    <row r="38" spans="1:10" ht="62.25" customHeight="1" thickBot="1">
      <c r="A38" s="545">
        <v>28</v>
      </c>
      <c r="B38" s="91"/>
      <c r="C38" s="543" t="str">
        <f>+IFERROR(VLOOKUP($B38,'様式４(機能別)'!$A:$K,8,0),"")</f>
        <v/>
      </c>
      <c r="D38" s="118"/>
      <c r="E38" s="1223"/>
      <c r="F38" s="1224"/>
      <c r="G38" s="531" t="str">
        <f t="shared" si="1"/>
        <v>不要</v>
      </c>
      <c r="J38" s="973"/>
    </row>
    <row r="39" spans="1:10" ht="62.25" customHeight="1" thickBot="1">
      <c r="A39" s="545">
        <v>29</v>
      </c>
      <c r="B39" s="91"/>
      <c r="C39" s="543" t="str">
        <f>+IFERROR(VLOOKUP($B39,'様式４(機能別)'!$A:$K,8,0),"")</f>
        <v/>
      </c>
      <c r="D39" s="118"/>
      <c r="E39" s="1223"/>
      <c r="F39" s="1224"/>
      <c r="G39" s="531" t="str">
        <f t="shared" si="1"/>
        <v>不要</v>
      </c>
      <c r="J39" s="973"/>
    </row>
    <row r="40" spans="1:10" ht="62.25" customHeight="1" thickBot="1">
      <c r="A40" s="545">
        <v>30</v>
      </c>
      <c r="B40" s="91"/>
      <c r="C40" s="543" t="str">
        <f>+IFERROR(VLOOKUP($B40,'様式４(機能別)'!$A:$K,8,0),"")</f>
        <v/>
      </c>
      <c r="D40" s="118"/>
      <c r="E40" s="1223"/>
      <c r="F40" s="1224"/>
      <c r="G40" s="531" t="str">
        <f t="shared" si="1"/>
        <v>不要</v>
      </c>
      <c r="J40" s="973"/>
    </row>
    <row r="41" spans="1:10" ht="62.25" customHeight="1" thickBot="1">
      <c r="A41" s="545">
        <v>31</v>
      </c>
      <c r="B41" s="91"/>
      <c r="C41" s="543" t="str">
        <f>+IFERROR(VLOOKUP($B41,'様式４(機能別)'!$A:$K,8,0),"")</f>
        <v/>
      </c>
      <c r="D41" s="118"/>
      <c r="E41" s="1223"/>
      <c r="F41" s="1224"/>
      <c r="G41" s="531" t="str">
        <f>IF(B41&lt;&gt;"",IF(AND(D41&lt;&gt;"",E41&lt;&gt;""),"入力済","未入力あり"),"不要")</f>
        <v>不要</v>
      </c>
      <c r="J41" s="973"/>
    </row>
    <row r="42" spans="1:10" ht="62.25" customHeight="1" thickBot="1">
      <c r="A42" s="545">
        <v>32</v>
      </c>
      <c r="B42" s="91"/>
      <c r="C42" s="543" t="str">
        <f>+IFERROR(VLOOKUP($B42,'様式４(機能別)'!$A:$K,8,0),"")</f>
        <v/>
      </c>
      <c r="D42" s="118"/>
      <c r="E42" s="1223"/>
      <c r="F42" s="1224"/>
      <c r="G42" s="531" t="str">
        <f>IF(B42&lt;&gt;"",IF(AND(D42&lt;&gt;"",E42&lt;&gt;""),"入力済","未入力あり"),"不要")</f>
        <v>不要</v>
      </c>
      <c r="J42" s="973"/>
    </row>
    <row r="43" spans="1:10" ht="62.25" customHeight="1" thickBot="1">
      <c r="A43" s="545">
        <v>33</v>
      </c>
      <c r="B43" s="91"/>
      <c r="C43" s="543" t="str">
        <f>+IFERROR(VLOOKUP($B43,'様式４(機能別)'!$A:$K,8,0),"")</f>
        <v/>
      </c>
      <c r="D43" s="118"/>
      <c r="E43" s="1223"/>
      <c r="F43" s="1224"/>
      <c r="G43" s="531" t="str">
        <f t="shared" si="1"/>
        <v>不要</v>
      </c>
      <c r="J43" s="973"/>
    </row>
    <row r="44" spans="1:10" ht="62.25" customHeight="1" thickBot="1">
      <c r="A44" s="545">
        <v>34</v>
      </c>
      <c r="B44" s="91"/>
      <c r="C44" s="543" t="str">
        <f>+IFERROR(VLOOKUP($B44,'様式４(機能別)'!$A:$K,8,0),"")</f>
        <v/>
      </c>
      <c r="D44" s="118"/>
      <c r="E44" s="1223"/>
      <c r="F44" s="1224"/>
      <c r="G44" s="531" t="str">
        <f t="shared" si="1"/>
        <v>不要</v>
      </c>
      <c r="J44" s="973"/>
    </row>
    <row r="45" spans="1:10" ht="62.25" customHeight="1" thickBot="1">
      <c r="A45" s="545">
        <v>35</v>
      </c>
      <c r="B45" s="91"/>
      <c r="C45" s="543" t="str">
        <f>+IFERROR(VLOOKUP($B45,'様式４(機能別)'!$A:$K,8,0),"")</f>
        <v/>
      </c>
      <c r="D45" s="118"/>
      <c r="E45" s="1223"/>
      <c r="F45" s="1224"/>
      <c r="G45" s="531" t="str">
        <f t="shared" si="1"/>
        <v>不要</v>
      </c>
      <c r="J45" s="973"/>
    </row>
    <row r="46" spans="1:10" ht="62.25" customHeight="1" thickBot="1">
      <c r="A46" s="545">
        <v>36</v>
      </c>
      <c r="B46" s="91"/>
      <c r="C46" s="543" t="str">
        <f>+IFERROR(VLOOKUP($B46,'様式４(機能別)'!$A:$K,8,0),"")</f>
        <v/>
      </c>
      <c r="D46" s="118"/>
      <c r="E46" s="1223"/>
      <c r="F46" s="1224"/>
      <c r="G46" s="531" t="str">
        <f t="shared" si="1"/>
        <v>不要</v>
      </c>
      <c r="J46" s="973"/>
    </row>
    <row r="47" spans="1:10" ht="62.25" customHeight="1" thickBot="1">
      <c r="A47" s="545">
        <v>37</v>
      </c>
      <c r="B47" s="91"/>
      <c r="C47" s="543" t="str">
        <f>+IFERROR(VLOOKUP($B47,'様式４(機能別)'!$A:$K,8,0),"")</f>
        <v/>
      </c>
      <c r="D47" s="118"/>
      <c r="E47" s="1223"/>
      <c r="F47" s="1224"/>
      <c r="G47" s="531" t="str">
        <f t="shared" si="1"/>
        <v>不要</v>
      </c>
      <c r="J47" s="973"/>
    </row>
    <row r="48" spans="1:10" ht="62.25" customHeight="1" thickBot="1">
      <c r="A48" s="545">
        <v>38</v>
      </c>
      <c r="B48" s="91"/>
      <c r="C48" s="543" t="str">
        <f>+IFERROR(VLOOKUP($B48,'様式４(機能別)'!$A:$K,8,0),"")</f>
        <v/>
      </c>
      <c r="D48" s="118"/>
      <c r="E48" s="1223"/>
      <c r="F48" s="1224"/>
      <c r="G48" s="531" t="str">
        <f t="shared" si="1"/>
        <v>不要</v>
      </c>
      <c r="J48" s="973"/>
    </row>
    <row r="49" spans="1:10" ht="62.25" customHeight="1" thickBot="1">
      <c r="A49" s="545">
        <v>39</v>
      </c>
      <c r="B49" s="91"/>
      <c r="C49" s="543" t="str">
        <f>+IFERROR(VLOOKUP($B49,'様式４(機能別)'!$A:$K,8,0),"")</f>
        <v/>
      </c>
      <c r="D49" s="118"/>
      <c r="E49" s="1223"/>
      <c r="F49" s="1224"/>
      <c r="G49" s="531" t="str">
        <f t="shared" si="1"/>
        <v>不要</v>
      </c>
      <c r="J49" s="973"/>
    </row>
    <row r="50" spans="1:10" ht="62.25" customHeight="1" thickBot="1">
      <c r="A50" s="545">
        <v>40</v>
      </c>
      <c r="B50" s="91"/>
      <c r="C50" s="543" t="str">
        <f>+IFERROR(VLOOKUP($B50,'様式４(機能別)'!$A:$K,8,0),"")</f>
        <v/>
      </c>
      <c r="D50" s="118"/>
      <c r="E50" s="1223"/>
      <c r="F50" s="1224"/>
      <c r="G50" s="531" t="str">
        <f t="shared" si="1"/>
        <v>不要</v>
      </c>
      <c r="J50" s="974"/>
    </row>
    <row r="51" spans="1:10">
      <c r="B51" s="551"/>
    </row>
    <row r="52" spans="1:10">
      <c r="B52" s="551"/>
    </row>
    <row r="53" spans="1:10">
      <c r="B53" s="551"/>
    </row>
    <row r="54" spans="1:10">
      <c r="B54" s="551"/>
    </row>
    <row r="55" spans="1:10">
      <c r="B55" s="551"/>
    </row>
    <row r="56" spans="1:10">
      <c r="B56" s="551"/>
    </row>
    <row r="57" spans="1:10">
      <c r="B57" s="551"/>
    </row>
    <row r="58" spans="1:10">
      <c r="B58" s="551"/>
    </row>
    <row r="59" spans="1:10">
      <c r="B59" s="551"/>
    </row>
    <row r="60" spans="1:10">
      <c r="B60" s="551"/>
    </row>
    <row r="61" spans="1:10">
      <c r="B61" s="551"/>
    </row>
    <row r="62" spans="1:10">
      <c r="B62" s="551"/>
    </row>
    <row r="63" spans="1:10">
      <c r="B63" s="551"/>
    </row>
    <row r="64" spans="1:10">
      <c r="B64" s="551"/>
    </row>
    <row r="65" spans="2:2">
      <c r="B65" s="551"/>
    </row>
    <row r="66" spans="2:2">
      <c r="B66" s="551"/>
    </row>
    <row r="67" spans="2:2">
      <c r="B67" s="551"/>
    </row>
    <row r="68" spans="2:2">
      <c r="B68" s="551"/>
    </row>
    <row r="69" spans="2:2">
      <c r="B69" s="551"/>
    </row>
    <row r="70" spans="2:2">
      <c r="B70" s="551"/>
    </row>
    <row r="71" spans="2:2">
      <c r="B71" s="551"/>
    </row>
    <row r="72" spans="2:2">
      <c r="B72" s="551"/>
    </row>
    <row r="73" spans="2:2">
      <c r="B73" s="551"/>
    </row>
    <row r="74" spans="2:2">
      <c r="B74" s="551"/>
    </row>
    <row r="75" spans="2:2">
      <c r="B75" s="551"/>
    </row>
    <row r="76" spans="2:2">
      <c r="B76" s="551"/>
    </row>
    <row r="77" spans="2:2">
      <c r="B77" s="551"/>
    </row>
    <row r="78" spans="2:2">
      <c r="B78" s="551"/>
    </row>
    <row r="79" spans="2:2">
      <c r="B79" s="551"/>
    </row>
    <row r="80" spans="2:2">
      <c r="B80" s="551"/>
    </row>
    <row r="81" spans="2:2">
      <c r="B81" s="551"/>
    </row>
    <row r="82" spans="2:2">
      <c r="B82" s="551"/>
    </row>
    <row r="83" spans="2:2">
      <c r="B83" s="551"/>
    </row>
    <row r="84" spans="2:2">
      <c r="B84" s="551"/>
    </row>
    <row r="85" spans="2:2">
      <c r="B85" s="551"/>
    </row>
    <row r="86" spans="2:2">
      <c r="B86" s="551"/>
    </row>
    <row r="87" spans="2:2">
      <c r="B87" s="551"/>
    </row>
    <row r="88" spans="2:2">
      <c r="B88" s="551"/>
    </row>
    <row r="89" spans="2:2">
      <c r="B89" s="551"/>
    </row>
    <row r="90" spans="2:2">
      <c r="B90" s="551"/>
    </row>
    <row r="91" spans="2:2">
      <c r="B91" s="551"/>
    </row>
    <row r="92" spans="2:2">
      <c r="B92" s="551"/>
    </row>
    <row r="93" spans="2:2">
      <c r="B93" s="551"/>
    </row>
    <row r="94" spans="2:2">
      <c r="B94" s="551"/>
    </row>
    <row r="95" spans="2:2">
      <c r="B95" s="551"/>
    </row>
    <row r="96" spans="2:2">
      <c r="B96" s="551"/>
    </row>
    <row r="97" spans="2:2">
      <c r="B97" s="551"/>
    </row>
    <row r="98" spans="2:2">
      <c r="B98" s="551"/>
    </row>
    <row r="99" spans="2:2">
      <c r="B99" s="551"/>
    </row>
    <row r="100" spans="2:2">
      <c r="B100" s="551"/>
    </row>
    <row r="101" spans="2:2">
      <c r="B101" s="341"/>
    </row>
    <row r="102" spans="2:2">
      <c r="B102" s="341"/>
    </row>
    <row r="103" spans="2:2">
      <c r="B103" s="341"/>
    </row>
    <row r="104" spans="2:2">
      <c r="B104" s="341"/>
    </row>
    <row r="105" spans="2:2">
      <c r="B105" s="341"/>
    </row>
    <row r="106" spans="2:2">
      <c r="B106" s="341"/>
    </row>
    <row r="107" spans="2:2">
      <c r="B107" s="341"/>
    </row>
    <row r="108" spans="2:2">
      <c r="B108" s="341"/>
    </row>
    <row r="109" spans="2:2">
      <c r="B109" s="341"/>
    </row>
    <row r="110" spans="2:2">
      <c r="B110" s="341"/>
    </row>
    <row r="111" spans="2:2">
      <c r="B111" s="341"/>
    </row>
    <row r="112" spans="2:2">
      <c r="B112" s="341"/>
    </row>
    <row r="113" spans="2:2">
      <c r="B113" s="341"/>
    </row>
    <row r="114" spans="2:2">
      <c r="B114" s="341"/>
    </row>
    <row r="115" spans="2:2">
      <c r="B115" s="341"/>
    </row>
    <row r="116" spans="2:2">
      <c r="B116" s="341"/>
    </row>
    <row r="117" spans="2:2">
      <c r="B117" s="341"/>
    </row>
    <row r="118" spans="2:2">
      <c r="B118" s="341"/>
    </row>
    <row r="119" spans="2:2">
      <c r="B119" s="341"/>
    </row>
    <row r="120" spans="2:2">
      <c r="B120" s="341"/>
    </row>
    <row r="121" spans="2:2">
      <c r="B121" s="341"/>
    </row>
    <row r="122" spans="2:2">
      <c r="B122" s="341"/>
    </row>
    <row r="123" spans="2:2">
      <c r="B123" s="341"/>
    </row>
    <row r="124" spans="2:2">
      <c r="B124" s="341"/>
    </row>
    <row r="125" spans="2:2">
      <c r="B125" s="341"/>
    </row>
    <row r="126" spans="2:2">
      <c r="B126" s="341"/>
    </row>
    <row r="127" spans="2:2">
      <c r="B127" s="341"/>
    </row>
    <row r="128" spans="2:2">
      <c r="B128" s="341"/>
    </row>
    <row r="129" spans="2:2">
      <c r="B129" s="341"/>
    </row>
    <row r="130" spans="2:2">
      <c r="B130" s="341"/>
    </row>
    <row r="131" spans="2:2">
      <c r="B131" s="341"/>
    </row>
    <row r="132" spans="2:2">
      <c r="B132" s="341"/>
    </row>
    <row r="133" spans="2:2">
      <c r="B133" s="341"/>
    </row>
    <row r="134" spans="2:2">
      <c r="B134" s="341"/>
    </row>
    <row r="135" spans="2:2">
      <c r="B135" s="341"/>
    </row>
    <row r="136" spans="2:2">
      <c r="B136" s="341"/>
    </row>
    <row r="137" spans="2:2">
      <c r="B137" s="341"/>
    </row>
    <row r="138" spans="2:2">
      <c r="B138" s="341"/>
    </row>
    <row r="139" spans="2:2">
      <c r="B139" s="341"/>
    </row>
    <row r="140" spans="2:2">
      <c r="B140" s="341"/>
    </row>
    <row r="141" spans="2:2">
      <c r="B141" s="341"/>
    </row>
    <row r="142" spans="2:2">
      <c r="B142" s="341"/>
    </row>
    <row r="143" spans="2:2">
      <c r="B143" s="341"/>
    </row>
    <row r="144" spans="2:2">
      <c r="B144" s="341"/>
    </row>
    <row r="145" spans="2:2">
      <c r="B145" s="341"/>
    </row>
    <row r="146" spans="2:2">
      <c r="B146" s="341"/>
    </row>
    <row r="147" spans="2:2">
      <c r="B147" s="341"/>
    </row>
    <row r="148" spans="2:2">
      <c r="B148" s="341"/>
    </row>
    <row r="149" spans="2:2">
      <c r="B149" s="341"/>
    </row>
    <row r="150" spans="2:2">
      <c r="B150" s="341"/>
    </row>
    <row r="151" spans="2:2">
      <c r="B151" s="341"/>
    </row>
    <row r="152" spans="2:2">
      <c r="B152" s="341"/>
    </row>
    <row r="153" spans="2:2">
      <c r="B153" s="341"/>
    </row>
    <row r="154" spans="2:2">
      <c r="B154" s="341"/>
    </row>
    <row r="155" spans="2:2">
      <c r="B155" s="341"/>
    </row>
    <row r="156" spans="2:2">
      <c r="B156" s="341"/>
    </row>
    <row r="157" spans="2:2">
      <c r="B157" s="341"/>
    </row>
    <row r="158" spans="2:2">
      <c r="B158" s="341"/>
    </row>
    <row r="159" spans="2:2">
      <c r="B159" s="341"/>
    </row>
    <row r="160" spans="2:2">
      <c r="B160" s="341"/>
    </row>
    <row r="161" spans="2:2">
      <c r="B161" s="341"/>
    </row>
    <row r="162" spans="2:2">
      <c r="B162" s="341"/>
    </row>
    <row r="163" spans="2:2">
      <c r="B163" s="341"/>
    </row>
    <row r="164" spans="2:2">
      <c r="B164" s="341"/>
    </row>
    <row r="165" spans="2:2">
      <c r="B165" s="341"/>
    </row>
    <row r="166" spans="2:2">
      <c r="B166" s="341"/>
    </row>
    <row r="167" spans="2:2">
      <c r="B167" s="341"/>
    </row>
    <row r="168" spans="2:2">
      <c r="B168" s="341"/>
    </row>
    <row r="169" spans="2:2">
      <c r="B169" s="341"/>
    </row>
    <row r="170" spans="2:2">
      <c r="B170" s="341"/>
    </row>
    <row r="171" spans="2:2">
      <c r="B171" s="341"/>
    </row>
    <row r="172" spans="2:2">
      <c r="B172" s="341"/>
    </row>
    <row r="173" spans="2:2">
      <c r="B173" s="341"/>
    </row>
    <row r="174" spans="2:2">
      <c r="B174" s="341"/>
    </row>
    <row r="175" spans="2:2">
      <c r="B175" s="341"/>
    </row>
    <row r="176" spans="2:2">
      <c r="B176" s="341"/>
    </row>
    <row r="177" spans="2:2">
      <c r="B177" s="341"/>
    </row>
    <row r="178" spans="2:2">
      <c r="B178" s="341"/>
    </row>
    <row r="179" spans="2:2">
      <c r="B179" s="341"/>
    </row>
    <row r="180" spans="2:2">
      <c r="B180" s="341"/>
    </row>
    <row r="181" spans="2:2">
      <c r="B181" s="341"/>
    </row>
    <row r="182" spans="2:2">
      <c r="B182" s="341"/>
    </row>
    <row r="183" spans="2:2">
      <c r="B183" s="341"/>
    </row>
    <row r="184" spans="2:2">
      <c r="B184" s="341"/>
    </row>
    <row r="185" spans="2:2">
      <c r="B185" s="341"/>
    </row>
    <row r="186" spans="2:2">
      <c r="B186" s="341"/>
    </row>
    <row r="187" spans="2:2">
      <c r="B187" s="341"/>
    </row>
    <row r="188" spans="2:2">
      <c r="B188" s="341"/>
    </row>
    <row r="189" spans="2:2">
      <c r="B189" s="341"/>
    </row>
    <row r="190" spans="2:2">
      <c r="B190" s="341"/>
    </row>
    <row r="191" spans="2:2">
      <c r="B191" s="341"/>
    </row>
    <row r="192" spans="2:2">
      <c r="B192" s="341"/>
    </row>
    <row r="193" spans="2:2">
      <c r="B193" s="341"/>
    </row>
    <row r="194" spans="2:2">
      <c r="B194" s="341"/>
    </row>
    <row r="195" spans="2:2">
      <c r="B195" s="341"/>
    </row>
    <row r="196" spans="2:2">
      <c r="B196" s="341"/>
    </row>
    <row r="197" spans="2:2">
      <c r="B197" s="341"/>
    </row>
    <row r="198" spans="2:2">
      <c r="B198" s="341"/>
    </row>
    <row r="199" spans="2:2">
      <c r="B199" s="341"/>
    </row>
    <row r="200" spans="2:2">
      <c r="B200" s="341"/>
    </row>
    <row r="201" spans="2:2">
      <c r="B201" s="341"/>
    </row>
    <row r="202" spans="2:2">
      <c r="B202" s="341"/>
    </row>
    <row r="203" spans="2:2">
      <c r="B203" s="341"/>
    </row>
    <row r="204" spans="2:2">
      <c r="B204" s="341"/>
    </row>
    <row r="205" spans="2:2">
      <c r="B205" s="341"/>
    </row>
    <row r="206" spans="2:2">
      <c r="B206" s="341"/>
    </row>
    <row r="207" spans="2:2">
      <c r="B207" s="341"/>
    </row>
    <row r="208" spans="2:2">
      <c r="B208" s="341"/>
    </row>
    <row r="209" spans="2:2">
      <c r="B209" s="341"/>
    </row>
    <row r="210" spans="2:2">
      <c r="B210" s="341"/>
    </row>
    <row r="211" spans="2:2">
      <c r="B211" s="341"/>
    </row>
    <row r="212" spans="2:2">
      <c r="B212" s="341"/>
    </row>
    <row r="213" spans="2:2">
      <c r="B213" s="341"/>
    </row>
    <row r="214" spans="2:2">
      <c r="B214" s="341"/>
    </row>
    <row r="215" spans="2:2">
      <c r="B215" s="341"/>
    </row>
    <row r="216" spans="2:2">
      <c r="B216" s="341"/>
    </row>
    <row r="217" spans="2:2">
      <c r="B217" s="341"/>
    </row>
    <row r="218" spans="2:2">
      <c r="B218" s="341"/>
    </row>
    <row r="219" spans="2:2">
      <c r="B219" s="341"/>
    </row>
    <row r="220" spans="2:2">
      <c r="B220" s="341"/>
    </row>
    <row r="221" spans="2:2">
      <c r="B221" s="341"/>
    </row>
    <row r="222" spans="2:2">
      <c r="B222" s="341"/>
    </row>
    <row r="223" spans="2:2">
      <c r="B223" s="341"/>
    </row>
    <row r="224" spans="2:2">
      <c r="B224" s="341"/>
    </row>
    <row r="225" spans="2:2">
      <c r="B225" s="341"/>
    </row>
    <row r="226" spans="2:2">
      <c r="B226" s="341"/>
    </row>
    <row r="227" spans="2:2">
      <c r="B227" s="341"/>
    </row>
    <row r="228" spans="2:2">
      <c r="B228" s="341"/>
    </row>
    <row r="229" spans="2:2">
      <c r="B229" s="341"/>
    </row>
    <row r="230" spans="2:2">
      <c r="B230" s="341"/>
    </row>
    <row r="231" spans="2:2">
      <c r="B231" s="341"/>
    </row>
    <row r="232" spans="2:2">
      <c r="B232" s="341"/>
    </row>
    <row r="233" spans="2:2">
      <c r="B233" s="341"/>
    </row>
    <row r="234" spans="2:2">
      <c r="B234" s="341"/>
    </row>
    <row r="235" spans="2:2">
      <c r="B235" s="341"/>
    </row>
    <row r="236" spans="2:2">
      <c r="B236" s="341"/>
    </row>
    <row r="237" spans="2:2">
      <c r="B237" s="341"/>
    </row>
    <row r="238" spans="2:2">
      <c r="B238" s="341"/>
    </row>
    <row r="239" spans="2:2">
      <c r="B239" s="341"/>
    </row>
    <row r="240" spans="2:2">
      <c r="B240" s="341"/>
    </row>
    <row r="241" spans="2:2">
      <c r="B241" s="341"/>
    </row>
    <row r="242" spans="2:2">
      <c r="B242" s="341"/>
    </row>
    <row r="243" spans="2:2">
      <c r="B243" s="341"/>
    </row>
    <row r="244" spans="2:2">
      <c r="B244" s="341"/>
    </row>
    <row r="245" spans="2:2">
      <c r="B245" s="341"/>
    </row>
    <row r="246" spans="2:2">
      <c r="B246" s="341"/>
    </row>
    <row r="247" spans="2:2">
      <c r="B247" s="341"/>
    </row>
    <row r="248" spans="2:2">
      <c r="B248" s="341"/>
    </row>
    <row r="249" spans="2:2">
      <c r="B249" s="341"/>
    </row>
    <row r="250" spans="2:2">
      <c r="B250" s="341"/>
    </row>
    <row r="251" spans="2:2">
      <c r="B251" s="341"/>
    </row>
    <row r="252" spans="2:2">
      <c r="B252" s="341"/>
    </row>
    <row r="253" spans="2:2">
      <c r="B253" s="341"/>
    </row>
    <row r="254" spans="2:2">
      <c r="B254" s="341"/>
    </row>
    <row r="255" spans="2:2">
      <c r="B255" s="341"/>
    </row>
    <row r="256" spans="2:2">
      <c r="B256" s="341"/>
    </row>
    <row r="257" spans="2:2">
      <c r="B257" s="341"/>
    </row>
    <row r="258" spans="2:2">
      <c r="B258" s="341"/>
    </row>
    <row r="259" spans="2:2">
      <c r="B259" s="341"/>
    </row>
    <row r="260" spans="2:2">
      <c r="B260" s="341"/>
    </row>
    <row r="261" spans="2:2">
      <c r="B261" s="341"/>
    </row>
    <row r="262" spans="2:2">
      <c r="B262" s="341"/>
    </row>
    <row r="263" spans="2:2">
      <c r="B263" s="341"/>
    </row>
    <row r="264" spans="2:2">
      <c r="B264" s="341"/>
    </row>
    <row r="265" spans="2:2">
      <c r="B265" s="341"/>
    </row>
    <row r="266" spans="2:2">
      <c r="B266" s="341"/>
    </row>
    <row r="267" spans="2:2">
      <c r="B267" s="341"/>
    </row>
    <row r="268" spans="2:2">
      <c r="B268" s="341"/>
    </row>
    <row r="269" spans="2:2">
      <c r="B269" s="341"/>
    </row>
    <row r="270" spans="2:2">
      <c r="B270" s="341"/>
    </row>
    <row r="271" spans="2:2">
      <c r="B271" s="341"/>
    </row>
    <row r="272" spans="2:2">
      <c r="B272" s="341"/>
    </row>
    <row r="273" spans="2:2">
      <c r="B273" s="341"/>
    </row>
    <row r="274" spans="2:2">
      <c r="B274" s="341"/>
    </row>
    <row r="275" spans="2:2">
      <c r="B275" s="341"/>
    </row>
    <row r="276" spans="2:2">
      <c r="B276" s="341"/>
    </row>
    <row r="277" spans="2:2">
      <c r="B277" s="341"/>
    </row>
    <row r="278" spans="2:2">
      <c r="B278" s="341"/>
    </row>
    <row r="279" spans="2:2">
      <c r="B279" s="341"/>
    </row>
    <row r="280" spans="2:2">
      <c r="B280" s="341"/>
    </row>
    <row r="281" spans="2:2">
      <c r="B281" s="341"/>
    </row>
    <row r="282" spans="2:2">
      <c r="B282" s="341"/>
    </row>
    <row r="283" spans="2:2">
      <c r="B283" s="341"/>
    </row>
    <row r="284" spans="2:2">
      <c r="B284" s="341"/>
    </row>
    <row r="285" spans="2:2">
      <c r="B285" s="341"/>
    </row>
    <row r="286" spans="2:2">
      <c r="B286" s="341"/>
    </row>
    <row r="287" spans="2:2">
      <c r="B287" s="341"/>
    </row>
    <row r="288" spans="2:2">
      <c r="B288" s="341"/>
    </row>
    <row r="289" spans="2:2">
      <c r="B289" s="341"/>
    </row>
    <row r="290" spans="2:2">
      <c r="B290" s="341"/>
    </row>
    <row r="291" spans="2:2">
      <c r="B291" s="341"/>
    </row>
    <row r="292" spans="2:2">
      <c r="B292" s="341"/>
    </row>
    <row r="293" spans="2:2">
      <c r="B293" s="341"/>
    </row>
    <row r="294" spans="2:2">
      <c r="B294" s="341"/>
    </row>
    <row r="295" spans="2:2">
      <c r="B295" s="341"/>
    </row>
    <row r="296" spans="2:2">
      <c r="B296" s="341"/>
    </row>
    <row r="297" spans="2:2">
      <c r="B297" s="341"/>
    </row>
    <row r="298" spans="2:2">
      <c r="B298" s="341"/>
    </row>
    <row r="299" spans="2:2">
      <c r="B299" s="341"/>
    </row>
    <row r="300" spans="2:2">
      <c r="B300" s="341"/>
    </row>
    <row r="301" spans="2:2">
      <c r="B301" s="341"/>
    </row>
    <row r="302" spans="2:2">
      <c r="B302" s="341"/>
    </row>
    <row r="303" spans="2:2">
      <c r="B303" s="341"/>
    </row>
    <row r="304" spans="2:2">
      <c r="B304" s="341"/>
    </row>
    <row r="305" spans="2:2">
      <c r="B305" s="341"/>
    </row>
    <row r="306" spans="2:2">
      <c r="B306" s="341"/>
    </row>
    <row r="307" spans="2:2">
      <c r="B307" s="341"/>
    </row>
    <row r="308" spans="2:2">
      <c r="B308" s="341"/>
    </row>
    <row r="309" spans="2:2">
      <c r="B309" s="341"/>
    </row>
    <row r="310" spans="2:2">
      <c r="B310" s="341"/>
    </row>
    <row r="311" spans="2:2">
      <c r="B311" s="341"/>
    </row>
    <row r="312" spans="2:2">
      <c r="B312" s="341"/>
    </row>
    <row r="313" spans="2:2">
      <c r="B313" s="341"/>
    </row>
    <row r="314" spans="2:2">
      <c r="B314" s="341"/>
    </row>
    <row r="315" spans="2:2">
      <c r="B315" s="341"/>
    </row>
    <row r="316" spans="2:2">
      <c r="B316" s="341"/>
    </row>
    <row r="317" spans="2:2">
      <c r="B317" s="341"/>
    </row>
    <row r="318" spans="2:2">
      <c r="B318" s="341"/>
    </row>
    <row r="319" spans="2:2">
      <c r="B319" s="341"/>
    </row>
    <row r="320" spans="2:2">
      <c r="B320" s="341"/>
    </row>
    <row r="321" spans="2:2">
      <c r="B321" s="341"/>
    </row>
    <row r="322" spans="2:2">
      <c r="B322" s="341"/>
    </row>
    <row r="323" spans="2:2">
      <c r="B323" s="341"/>
    </row>
    <row r="324" spans="2:2">
      <c r="B324" s="341"/>
    </row>
    <row r="325" spans="2:2">
      <c r="B325" s="341"/>
    </row>
    <row r="326" spans="2:2">
      <c r="B326" s="341"/>
    </row>
    <row r="327" spans="2:2">
      <c r="B327" s="341"/>
    </row>
    <row r="328" spans="2:2">
      <c r="B328" s="341"/>
    </row>
    <row r="329" spans="2:2">
      <c r="B329" s="341"/>
    </row>
    <row r="330" spans="2:2">
      <c r="B330" s="341"/>
    </row>
    <row r="331" spans="2:2">
      <c r="B331" s="341"/>
    </row>
    <row r="332" spans="2:2">
      <c r="B332" s="341"/>
    </row>
    <row r="333" spans="2:2">
      <c r="B333" s="341"/>
    </row>
    <row r="334" spans="2:2">
      <c r="B334" s="341"/>
    </row>
  </sheetData>
  <sheetProtection selectLockedCells="1" autoFilter="0"/>
  <mergeCells count="50">
    <mergeCell ref="E30:F30"/>
    <mergeCell ref="E25:F25"/>
    <mergeCell ref="E26:F26"/>
    <mergeCell ref="E27:F27"/>
    <mergeCell ref="E28:F28"/>
    <mergeCell ref="E29:F29"/>
    <mergeCell ref="E17:F17"/>
    <mergeCell ref="E18:F18"/>
    <mergeCell ref="E24:F24"/>
    <mergeCell ref="E19:F19"/>
    <mergeCell ref="E20:F20"/>
    <mergeCell ref="E21:F21"/>
    <mergeCell ref="E22:F22"/>
    <mergeCell ref="E23:F23"/>
    <mergeCell ref="H2:H4"/>
    <mergeCell ref="E8:F8"/>
    <mergeCell ref="E16:F16"/>
    <mergeCell ref="E9:F9"/>
    <mergeCell ref="E15:F15"/>
    <mergeCell ref="E10:F10"/>
    <mergeCell ref="E14:F14"/>
    <mergeCell ref="E11:F11"/>
    <mergeCell ref="E12:F12"/>
    <mergeCell ref="E13:F13"/>
    <mergeCell ref="G2:G4"/>
    <mergeCell ref="A1:F1"/>
    <mergeCell ref="A2:E2"/>
    <mergeCell ref="E4:F4"/>
    <mergeCell ref="A6:F6"/>
    <mergeCell ref="E7:F7"/>
    <mergeCell ref="E31:F31"/>
    <mergeCell ref="E32:F32"/>
    <mergeCell ref="E33:F33"/>
    <mergeCell ref="E34:F34"/>
    <mergeCell ref="E35:F35"/>
    <mergeCell ref="E36:F36"/>
    <mergeCell ref="E37:F37"/>
    <mergeCell ref="E38:F38"/>
    <mergeCell ref="E39:F39"/>
    <mergeCell ref="E40:F40"/>
    <mergeCell ref="E41:F41"/>
    <mergeCell ref="E42:F42"/>
    <mergeCell ref="E43:F43"/>
    <mergeCell ref="E44:F44"/>
    <mergeCell ref="E45:F45"/>
    <mergeCell ref="E46:F46"/>
    <mergeCell ref="E47:F47"/>
    <mergeCell ref="E48:F48"/>
    <mergeCell ref="E49:F49"/>
    <mergeCell ref="E50:F50"/>
  </mergeCells>
  <phoneticPr fontId="10"/>
  <dataValidations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80"/>
  <sheetViews>
    <sheetView showGridLines="0" view="pageBreakPreview" zoomScale="80" zoomScaleNormal="85" zoomScaleSheetLayoutView="80" workbookViewId="0">
      <selection activeCell="K79" sqref="K79"/>
    </sheetView>
  </sheetViews>
  <sheetFormatPr defaultColWidth="9" defaultRowHeight="13.5"/>
  <cols>
    <col min="1" max="1" width="39.25" style="553" customWidth="1"/>
    <col min="2" max="2" width="11.375" style="553" customWidth="1"/>
    <col min="3" max="3" width="12.125" style="553" customWidth="1"/>
    <col min="4" max="4" width="13" style="553" customWidth="1"/>
    <col min="5" max="6" width="12" style="553" customWidth="1"/>
    <col min="7" max="8" width="13.25" style="553" customWidth="1"/>
    <col min="9" max="9" width="13.875" style="553" customWidth="1"/>
    <col min="10" max="10" width="18.875" style="553" customWidth="1"/>
    <col min="11" max="11" width="23.875" style="553" customWidth="1"/>
    <col min="12" max="12" width="2.625" style="553" customWidth="1"/>
    <col min="13" max="14" width="9" style="553" hidden="1" customWidth="1"/>
    <col min="15" max="15" width="3.625" style="559" hidden="1" customWidth="1"/>
    <col min="16" max="16" width="82.75" style="560" bestFit="1" customWidth="1"/>
    <col min="17" max="24" width="9" style="560"/>
    <col min="25" max="16384" width="9" style="553"/>
  </cols>
  <sheetData>
    <row r="1" spans="1:24" customFormat="1" ht="20.100000000000001" customHeight="1" thickBot="1">
      <c r="A1" s="1247" t="s">
        <v>209</v>
      </c>
      <c r="B1" s="1247"/>
      <c r="C1" s="1247"/>
      <c r="D1" s="1247"/>
      <c r="E1" s="1247"/>
      <c r="F1" s="1247"/>
      <c r="G1" s="1247"/>
      <c r="H1" s="1247"/>
      <c r="I1" s="1247"/>
      <c r="J1" s="1247"/>
      <c r="K1" s="1247"/>
      <c r="N1" s="64"/>
      <c r="O1" s="97"/>
      <c r="P1" s="99"/>
      <c r="Q1" s="340"/>
      <c r="R1" s="340"/>
      <c r="S1" s="340"/>
      <c r="T1" s="340"/>
      <c r="U1" s="340"/>
      <c r="V1" s="340"/>
      <c r="W1" s="340"/>
      <c r="X1" s="340"/>
    </row>
    <row r="2" spans="1:24" customFormat="1" ht="24.95" customHeight="1" thickTop="1" thickBot="1">
      <c r="A2" s="552"/>
      <c r="B2" s="1228" t="s">
        <v>1235</v>
      </c>
      <c r="C2" s="1228"/>
      <c r="D2" s="1228"/>
      <c r="E2" s="1228"/>
      <c r="F2" s="1228"/>
      <c r="G2" s="1228"/>
      <c r="H2" s="1228"/>
      <c r="I2" s="1228"/>
      <c r="J2" s="1248"/>
      <c r="K2" s="533" t="str">
        <f>IF(COUNTIF(M15:N80,"×")=0,"入力済","未入力あり")</f>
        <v>入力済</v>
      </c>
      <c r="L2" s="553"/>
      <c r="M2" s="553"/>
      <c r="N2" s="64"/>
      <c r="O2" s="97"/>
      <c r="P2" s="99"/>
      <c r="Q2" s="340"/>
      <c r="R2" s="340"/>
      <c r="S2" s="340"/>
      <c r="T2" s="340"/>
      <c r="U2" s="340"/>
      <c r="V2" s="340"/>
      <c r="W2" s="340"/>
      <c r="X2" s="340"/>
    </row>
    <row r="3" spans="1:24" customFormat="1" ht="5.0999999999999996" customHeight="1" thickTop="1">
      <c r="A3" s="554"/>
      <c r="B3" s="554"/>
      <c r="C3" s="554"/>
      <c r="D3" s="554"/>
      <c r="E3" s="554"/>
      <c r="F3" s="554"/>
      <c r="G3" s="554"/>
      <c r="H3" s="554"/>
      <c r="I3" s="554"/>
      <c r="J3" s="554"/>
      <c r="K3" s="554"/>
      <c r="L3" s="553"/>
      <c r="M3" s="553"/>
      <c r="N3" s="555"/>
      <c r="O3" s="556"/>
      <c r="P3" s="340"/>
      <c r="Q3" s="340"/>
      <c r="R3" s="340"/>
      <c r="S3" s="340"/>
      <c r="T3" s="340"/>
      <c r="U3" s="340"/>
      <c r="V3" s="340"/>
      <c r="W3" s="340"/>
      <c r="X3" s="340"/>
    </row>
    <row r="4" spans="1:24" customFormat="1" ht="20.100000000000001" customHeight="1">
      <c r="A4" s="554"/>
      <c r="B4" s="554"/>
      <c r="C4" s="554"/>
      <c r="D4" s="554"/>
      <c r="E4" s="554"/>
      <c r="F4" s="557" t="s">
        <v>1236</v>
      </c>
      <c r="G4" s="1249" t="str">
        <f>+表紙!E2</f>
        <v>市立豊中病院</v>
      </c>
      <c r="H4" s="1250"/>
      <c r="I4" s="1250"/>
      <c r="J4" s="1250"/>
      <c r="K4" s="1251"/>
      <c r="L4" s="553"/>
      <c r="M4" s="553"/>
      <c r="N4" s="64"/>
      <c r="O4" s="97"/>
      <c r="P4" s="340"/>
      <c r="Q4" s="340"/>
      <c r="R4" s="340"/>
      <c r="S4" s="340"/>
      <c r="T4" s="340"/>
      <c r="U4" s="340"/>
      <c r="V4" s="340"/>
      <c r="W4" s="340"/>
      <c r="X4" s="340"/>
    </row>
    <row r="5" spans="1:24" customFormat="1" ht="19.5" customHeight="1">
      <c r="A5" s="554"/>
      <c r="B5" s="557"/>
      <c r="C5" s="557"/>
      <c r="D5" s="557"/>
      <c r="E5" s="557"/>
      <c r="F5" s="557" t="s">
        <v>1237</v>
      </c>
      <c r="G5" s="1047" t="str">
        <f>+'事務局使用（発出時は非表示にすること）'!B4</f>
        <v>令和５年１月１日～12月31日</v>
      </c>
      <c r="J5" s="1047"/>
      <c r="K5" s="1047"/>
      <c r="L5" s="553"/>
      <c r="M5" s="553"/>
      <c r="N5" s="211"/>
      <c r="O5" s="558"/>
      <c r="P5" s="975" t="s">
        <v>268</v>
      </c>
      <c r="Q5" s="976"/>
      <c r="R5" s="340"/>
      <c r="S5" s="340"/>
      <c r="T5" s="340"/>
      <c r="U5" s="340"/>
      <c r="V5" s="340"/>
      <c r="W5" s="340"/>
      <c r="X5" s="340"/>
    </row>
    <row r="6" spans="1:24" ht="162.75" customHeight="1">
      <c r="A6" s="1252" t="s">
        <v>1238</v>
      </c>
      <c r="B6" s="1253"/>
      <c r="C6" s="1253"/>
      <c r="D6" s="1253"/>
      <c r="E6" s="1253"/>
      <c r="F6" s="1253"/>
      <c r="G6" s="1253"/>
      <c r="H6" s="1253"/>
      <c r="I6" s="1253"/>
      <c r="J6" s="1253"/>
      <c r="K6" s="1253"/>
      <c r="P6" s="170"/>
      <c r="Q6" s="977"/>
    </row>
    <row r="7" spans="1:24" ht="18" customHeight="1">
      <c r="B7" s="561" t="s">
        <v>1239</v>
      </c>
      <c r="C7" s="553" t="s">
        <v>1240</v>
      </c>
      <c r="F7" s="562"/>
      <c r="G7" s="562"/>
      <c r="P7" s="170"/>
      <c r="Q7" s="977"/>
    </row>
    <row r="8" spans="1:24" ht="18" customHeight="1">
      <c r="C8" s="553" t="s">
        <v>1241</v>
      </c>
      <c r="F8" s="562"/>
      <c r="G8" s="562"/>
      <c r="P8" s="170"/>
      <c r="Q8" s="977"/>
    </row>
    <row r="9" spans="1:24" ht="18" customHeight="1">
      <c r="C9" s="553" t="s">
        <v>1242</v>
      </c>
      <c r="F9" s="562"/>
      <c r="G9" s="562"/>
      <c r="H9" s="562"/>
      <c r="P9" s="170"/>
      <c r="Q9" s="977"/>
    </row>
    <row r="10" spans="1:24" ht="18" customHeight="1">
      <c r="B10" s="561" t="s">
        <v>1243</v>
      </c>
      <c r="C10" s="559" t="s">
        <v>1244</v>
      </c>
      <c r="D10" s="559"/>
      <c r="E10" s="559"/>
      <c r="F10" s="559"/>
      <c r="P10" s="170"/>
      <c r="Q10" s="977"/>
    </row>
    <row r="11" spans="1:24">
      <c r="B11" s="1254" t="s">
        <v>1245</v>
      </c>
      <c r="C11" s="1255"/>
      <c r="D11" s="1255"/>
      <c r="E11" s="1255"/>
      <c r="F11" s="1255"/>
      <c r="G11" s="1256"/>
      <c r="H11" s="1257" t="s">
        <v>1246</v>
      </c>
      <c r="I11" s="1257"/>
      <c r="J11" s="1257"/>
      <c r="P11" s="170"/>
      <c r="Q11" s="977"/>
    </row>
    <row r="12" spans="1:24">
      <c r="A12" s="563"/>
      <c r="B12" s="1242" t="s">
        <v>1247</v>
      </c>
      <c r="C12" s="1243"/>
      <c r="D12" s="1243"/>
      <c r="E12" s="1243"/>
      <c r="F12" s="1244"/>
      <c r="G12" s="1240" t="s">
        <v>1248</v>
      </c>
      <c r="H12" s="1258" t="s">
        <v>1249</v>
      </c>
      <c r="I12" s="1259"/>
      <c r="J12" s="1258" t="s">
        <v>1250</v>
      </c>
      <c r="K12" s="1096" t="s">
        <v>1251</v>
      </c>
      <c r="P12" s="170"/>
      <c r="Q12" s="977"/>
    </row>
    <row r="13" spans="1:24" ht="13.5" customHeight="1">
      <c r="A13" s="1245" t="s">
        <v>1252</v>
      </c>
      <c r="B13" s="1240" t="s">
        <v>1253</v>
      </c>
      <c r="C13" s="1242" t="s">
        <v>1254</v>
      </c>
      <c r="D13" s="1243"/>
      <c r="E13" s="1244"/>
      <c r="F13" s="1240" t="s">
        <v>1255</v>
      </c>
      <c r="G13" s="1260"/>
      <c r="H13" s="1238" t="s">
        <v>1256</v>
      </c>
      <c r="I13" s="1238" t="s">
        <v>1257</v>
      </c>
      <c r="J13" s="1241"/>
      <c r="K13" s="564"/>
      <c r="P13" s="170"/>
      <c r="Q13" s="977"/>
    </row>
    <row r="14" spans="1:24" ht="57.75" customHeight="1">
      <c r="A14" s="1246"/>
      <c r="B14" s="1241"/>
      <c r="C14" s="565" t="s">
        <v>1258</v>
      </c>
      <c r="D14" s="565" t="s">
        <v>1259</v>
      </c>
      <c r="E14" s="565" t="s">
        <v>1260</v>
      </c>
      <c r="F14" s="1241"/>
      <c r="G14" s="1241"/>
      <c r="H14" s="1239"/>
      <c r="I14" s="1239"/>
      <c r="J14" s="1239"/>
      <c r="K14" s="566" t="s">
        <v>1261</v>
      </c>
      <c r="P14" s="170"/>
      <c r="Q14" s="977"/>
    </row>
    <row r="15" spans="1:24">
      <c r="A15" s="567" t="s">
        <v>1262</v>
      </c>
      <c r="B15" s="1142" t="s">
        <v>1343</v>
      </c>
      <c r="C15" s="1142" t="s">
        <v>1343</v>
      </c>
      <c r="D15" s="1142" t="s">
        <v>1343</v>
      </c>
      <c r="E15" s="1142" t="s">
        <v>1343</v>
      </c>
      <c r="F15" s="1142" t="s">
        <v>1343</v>
      </c>
      <c r="G15" s="1142" t="s">
        <v>1944</v>
      </c>
      <c r="H15" s="568" t="s">
        <v>1263</v>
      </c>
      <c r="I15" s="568"/>
      <c r="J15" s="1141" t="s">
        <v>1947</v>
      </c>
      <c r="K15" s="1140"/>
      <c r="M15" s="553" t="str">
        <f>IF(COUNTBLANK(B15:G15)=0,"○","×")</f>
        <v>○</v>
      </c>
      <c r="N15" s="553" t="str">
        <f>IF(AND(COUNTIF(B15:F15,"◎")&gt;=1,J15=""),"×","○")</f>
        <v>○</v>
      </c>
      <c r="P15" s="170"/>
      <c r="Q15" s="977"/>
    </row>
    <row r="16" spans="1:24">
      <c r="A16" s="567" t="s">
        <v>1264</v>
      </c>
      <c r="B16" s="1142" t="s">
        <v>1942</v>
      </c>
      <c r="C16" s="569"/>
      <c r="D16" s="1142" t="s">
        <v>1942</v>
      </c>
      <c r="E16" s="1142" t="s">
        <v>1942</v>
      </c>
      <c r="F16" s="1142" t="s">
        <v>1942</v>
      </c>
      <c r="G16" s="1142" t="s">
        <v>1944</v>
      </c>
      <c r="H16" s="568"/>
      <c r="I16" s="568"/>
      <c r="J16" s="1141" t="s">
        <v>1948</v>
      </c>
      <c r="K16" s="1140"/>
      <c r="M16" s="570" t="str">
        <f>IF(OR(B16="",D16="",E16="",F16="",G16=""),"×","○")</f>
        <v>○</v>
      </c>
      <c r="N16" s="553" t="str">
        <f>IF(AND(COUNTIF(B16:F16,"◎")&gt;=1,J16=""),"×","○")</f>
        <v>○</v>
      </c>
      <c r="P16" s="170"/>
      <c r="Q16" s="977"/>
    </row>
    <row r="17" spans="1:17">
      <c r="A17" s="567" t="s">
        <v>1265</v>
      </c>
      <c r="B17" s="1142" t="s">
        <v>1343</v>
      </c>
      <c r="C17" s="1142" t="s">
        <v>1343</v>
      </c>
      <c r="D17" s="1142" t="s">
        <v>1343</v>
      </c>
      <c r="E17" s="1142" t="s">
        <v>1343</v>
      </c>
      <c r="F17" s="1142" t="s">
        <v>1343</v>
      </c>
      <c r="G17" s="1142" t="s">
        <v>1944</v>
      </c>
      <c r="H17" s="568"/>
      <c r="I17" s="568"/>
      <c r="J17" s="1141" t="s">
        <v>1947</v>
      </c>
      <c r="K17" s="1140"/>
      <c r="M17" s="553" t="str">
        <f t="shared" ref="M17:M80" si="0">IF(COUNTBLANK(B17:G17)=0,"○","×")</f>
        <v>○</v>
      </c>
      <c r="N17" s="553" t="str">
        <f t="shared" ref="N17:N80" si="1">IF(AND(COUNTIF(B17:F17,"◎")&gt;=1,J17=""),"×","○")</f>
        <v>○</v>
      </c>
      <c r="P17" s="170"/>
      <c r="Q17" s="977"/>
    </row>
    <row r="18" spans="1:17">
      <c r="A18" s="567" t="s">
        <v>1266</v>
      </c>
      <c r="B18" s="1142" t="s">
        <v>1943</v>
      </c>
      <c r="C18" s="1142" t="s">
        <v>1943</v>
      </c>
      <c r="D18" s="1142" t="s">
        <v>1943</v>
      </c>
      <c r="E18" s="1142" t="s">
        <v>1943</v>
      </c>
      <c r="F18" s="1142" t="s">
        <v>1943</v>
      </c>
      <c r="G18" s="1142" t="s">
        <v>1944</v>
      </c>
      <c r="H18" s="568"/>
      <c r="I18" s="568"/>
      <c r="J18" s="1141" t="s">
        <v>1949</v>
      </c>
      <c r="K18" s="1140"/>
      <c r="M18" s="553" t="str">
        <f t="shared" si="0"/>
        <v>○</v>
      </c>
      <c r="N18" s="553" t="str">
        <f t="shared" si="1"/>
        <v>○</v>
      </c>
      <c r="P18" s="170"/>
      <c r="Q18" s="977"/>
    </row>
    <row r="19" spans="1:17">
      <c r="A19" s="567" t="s">
        <v>1267</v>
      </c>
      <c r="B19" s="1142" t="s">
        <v>1343</v>
      </c>
      <c r="C19" s="1142" t="s">
        <v>1943</v>
      </c>
      <c r="D19" s="1142" t="s">
        <v>1943</v>
      </c>
      <c r="E19" s="1142" t="s">
        <v>1943</v>
      </c>
      <c r="F19" s="1142" t="s">
        <v>1943</v>
      </c>
      <c r="G19" s="1142" t="s">
        <v>1944</v>
      </c>
      <c r="H19" s="568"/>
      <c r="I19" s="568"/>
      <c r="J19" s="1141" t="s">
        <v>1950</v>
      </c>
      <c r="K19" s="1140"/>
      <c r="M19" s="553" t="str">
        <f t="shared" si="0"/>
        <v>○</v>
      </c>
      <c r="N19" s="553" t="str">
        <f t="shared" si="1"/>
        <v>○</v>
      </c>
      <c r="P19" s="170"/>
      <c r="Q19" s="977"/>
    </row>
    <row r="20" spans="1:17" ht="27">
      <c r="A20" s="567" t="s">
        <v>1268</v>
      </c>
      <c r="B20" s="1142" t="s">
        <v>1942</v>
      </c>
      <c r="C20" s="1142" t="s">
        <v>1942</v>
      </c>
      <c r="D20" s="1142" t="s">
        <v>1343</v>
      </c>
      <c r="E20" s="1142" t="s">
        <v>1343</v>
      </c>
      <c r="F20" s="1142" t="s">
        <v>1343</v>
      </c>
      <c r="G20" s="1142" t="s">
        <v>1944</v>
      </c>
      <c r="H20" s="568"/>
      <c r="I20" s="568"/>
      <c r="J20" s="1141" t="s">
        <v>1951</v>
      </c>
      <c r="K20" s="1140"/>
      <c r="M20" s="553" t="str">
        <f t="shared" si="0"/>
        <v>○</v>
      </c>
      <c r="N20" s="553" t="str">
        <f t="shared" si="1"/>
        <v>○</v>
      </c>
      <c r="P20" s="170"/>
      <c r="Q20" s="977"/>
    </row>
    <row r="21" spans="1:17">
      <c r="A21" s="567" t="s">
        <v>1269</v>
      </c>
      <c r="B21" s="1142" t="s">
        <v>1343</v>
      </c>
      <c r="C21" s="1142" t="s">
        <v>1943</v>
      </c>
      <c r="D21" s="1142" t="s">
        <v>1943</v>
      </c>
      <c r="E21" s="1142" t="s">
        <v>1943</v>
      </c>
      <c r="F21" s="1142" t="s">
        <v>1943</v>
      </c>
      <c r="G21" s="1142" t="s">
        <v>1945</v>
      </c>
      <c r="H21" s="568" t="s">
        <v>1270</v>
      </c>
      <c r="I21" s="568"/>
      <c r="J21" s="1141" t="s">
        <v>1950</v>
      </c>
      <c r="K21" s="1140"/>
      <c r="M21" s="553" t="str">
        <f t="shared" si="0"/>
        <v>○</v>
      </c>
      <c r="N21" s="553" t="str">
        <f t="shared" si="1"/>
        <v>○</v>
      </c>
      <c r="P21" s="170"/>
      <c r="Q21" s="977"/>
    </row>
    <row r="22" spans="1:17">
      <c r="A22" s="567" t="s">
        <v>1271</v>
      </c>
      <c r="B22" s="1142" t="s">
        <v>1343</v>
      </c>
      <c r="C22" s="1142" t="s">
        <v>1343</v>
      </c>
      <c r="D22" s="1142" t="s">
        <v>1343</v>
      </c>
      <c r="E22" s="1142" t="s">
        <v>1943</v>
      </c>
      <c r="F22" s="1142" t="s">
        <v>1343</v>
      </c>
      <c r="G22" s="1142" t="s">
        <v>1944</v>
      </c>
      <c r="H22" s="568"/>
      <c r="I22" s="568"/>
      <c r="J22" s="1141" t="s">
        <v>1950</v>
      </c>
      <c r="K22" s="1140"/>
      <c r="M22" s="553" t="str">
        <f t="shared" si="0"/>
        <v>○</v>
      </c>
      <c r="N22" s="553" t="str">
        <f t="shared" si="1"/>
        <v>○</v>
      </c>
      <c r="P22" s="170"/>
      <c r="Q22" s="977"/>
    </row>
    <row r="23" spans="1:17" ht="27">
      <c r="A23" s="567" t="s">
        <v>1272</v>
      </c>
      <c r="B23" s="1142" t="s">
        <v>1942</v>
      </c>
      <c r="C23" s="1142" t="s">
        <v>1942</v>
      </c>
      <c r="D23" s="1142" t="s">
        <v>1343</v>
      </c>
      <c r="E23" s="1142" t="s">
        <v>1343</v>
      </c>
      <c r="F23" s="1142" t="s">
        <v>1943</v>
      </c>
      <c r="G23" s="1142" t="s">
        <v>1944</v>
      </c>
      <c r="H23" s="568"/>
      <c r="I23" s="568"/>
      <c r="J23" s="1141" t="s">
        <v>1951</v>
      </c>
      <c r="K23" s="1140" t="s">
        <v>1952</v>
      </c>
      <c r="M23" s="553" t="str">
        <f t="shared" si="0"/>
        <v>○</v>
      </c>
      <c r="N23" s="553" t="str">
        <f t="shared" si="1"/>
        <v>○</v>
      </c>
      <c r="P23" s="170"/>
      <c r="Q23" s="977"/>
    </row>
    <row r="24" spans="1:17">
      <c r="A24" s="567" t="s">
        <v>1273</v>
      </c>
      <c r="B24" s="1142" t="s">
        <v>1343</v>
      </c>
      <c r="C24" s="1142" t="s">
        <v>1943</v>
      </c>
      <c r="D24" s="1142" t="s">
        <v>1943</v>
      </c>
      <c r="E24" s="1142" t="s">
        <v>1943</v>
      </c>
      <c r="F24" s="1142" t="s">
        <v>1943</v>
      </c>
      <c r="G24" s="1142" t="s">
        <v>1944</v>
      </c>
      <c r="H24" s="568"/>
      <c r="I24" s="568"/>
      <c r="J24" s="1141" t="s">
        <v>1950</v>
      </c>
      <c r="K24" s="1140"/>
      <c r="M24" s="553" t="str">
        <f t="shared" si="0"/>
        <v>○</v>
      </c>
      <c r="N24" s="553" t="str">
        <f t="shared" si="1"/>
        <v>○</v>
      </c>
      <c r="P24" s="170"/>
      <c r="Q24" s="977"/>
    </row>
    <row r="25" spans="1:17">
      <c r="A25" s="567" t="s">
        <v>1274</v>
      </c>
      <c r="B25" s="1142" t="s">
        <v>1343</v>
      </c>
      <c r="C25" s="1142" t="s">
        <v>1943</v>
      </c>
      <c r="D25" s="1142" t="s">
        <v>1943</v>
      </c>
      <c r="E25" s="1142" t="s">
        <v>1943</v>
      </c>
      <c r="F25" s="1142" t="s">
        <v>1943</v>
      </c>
      <c r="G25" s="1142" t="s">
        <v>1944</v>
      </c>
      <c r="H25" s="568"/>
      <c r="I25" s="568"/>
      <c r="J25" s="1141" t="s">
        <v>1950</v>
      </c>
      <c r="K25" s="1140"/>
      <c r="M25" s="553" t="str">
        <f t="shared" si="0"/>
        <v>○</v>
      </c>
      <c r="N25" s="553" t="str">
        <f t="shared" si="1"/>
        <v>○</v>
      </c>
      <c r="P25" s="170"/>
      <c r="Q25" s="977"/>
    </row>
    <row r="26" spans="1:17">
      <c r="A26" s="567" t="s">
        <v>1275</v>
      </c>
      <c r="B26" s="1142" t="s">
        <v>1343</v>
      </c>
      <c r="C26" s="1142" t="s">
        <v>1343</v>
      </c>
      <c r="D26" s="1142" t="s">
        <v>1943</v>
      </c>
      <c r="E26" s="1142" t="s">
        <v>1343</v>
      </c>
      <c r="F26" s="1142" t="s">
        <v>1343</v>
      </c>
      <c r="G26" s="1142" t="s">
        <v>1944</v>
      </c>
      <c r="H26" s="568"/>
      <c r="I26" s="568"/>
      <c r="J26" s="1141" t="s">
        <v>1953</v>
      </c>
      <c r="K26" s="1140"/>
      <c r="M26" s="553" t="str">
        <f t="shared" si="0"/>
        <v>○</v>
      </c>
      <c r="N26" s="553" t="str">
        <f t="shared" si="1"/>
        <v>○</v>
      </c>
      <c r="P26" s="170"/>
      <c r="Q26" s="977"/>
    </row>
    <row r="27" spans="1:17">
      <c r="A27" s="567" t="s">
        <v>1276</v>
      </c>
      <c r="B27" s="1142" t="s">
        <v>1942</v>
      </c>
      <c r="C27" s="1142" t="s">
        <v>1942</v>
      </c>
      <c r="D27" s="1142" t="s">
        <v>1942</v>
      </c>
      <c r="E27" s="1142" t="s">
        <v>1942</v>
      </c>
      <c r="F27" s="1142" t="s">
        <v>1942</v>
      </c>
      <c r="G27" s="1142" t="s">
        <v>1946</v>
      </c>
      <c r="H27" s="568"/>
      <c r="I27" s="568"/>
      <c r="J27" s="1141" t="s">
        <v>1954</v>
      </c>
      <c r="K27" s="1140"/>
      <c r="M27" s="553" t="str">
        <f t="shared" si="0"/>
        <v>○</v>
      </c>
      <c r="N27" s="553" t="str">
        <f t="shared" si="1"/>
        <v>○</v>
      </c>
      <c r="P27" s="170"/>
      <c r="Q27" s="977"/>
    </row>
    <row r="28" spans="1:17" ht="27">
      <c r="A28" s="567" t="s">
        <v>1277</v>
      </c>
      <c r="B28" s="1142" t="s">
        <v>1942</v>
      </c>
      <c r="C28" s="1142" t="s">
        <v>1943</v>
      </c>
      <c r="D28" s="1142" t="s">
        <v>1943</v>
      </c>
      <c r="E28" s="1142" t="s">
        <v>1943</v>
      </c>
      <c r="F28" s="1142" t="s">
        <v>1943</v>
      </c>
      <c r="G28" s="1142" t="s">
        <v>1944</v>
      </c>
      <c r="H28" s="568"/>
      <c r="I28" s="568"/>
      <c r="J28" s="1141" t="s">
        <v>1955</v>
      </c>
      <c r="K28" s="1140"/>
      <c r="M28" s="553" t="str">
        <f t="shared" si="0"/>
        <v>○</v>
      </c>
      <c r="N28" s="553" t="str">
        <f t="shared" si="1"/>
        <v>○</v>
      </c>
      <c r="P28" s="170"/>
      <c r="Q28" s="977"/>
    </row>
    <row r="29" spans="1:17" ht="27">
      <c r="A29" s="567" t="s">
        <v>1278</v>
      </c>
      <c r="B29" s="1142" t="s">
        <v>1942</v>
      </c>
      <c r="C29" s="1142" t="s">
        <v>1942</v>
      </c>
      <c r="D29" s="1142" t="s">
        <v>1942</v>
      </c>
      <c r="E29" s="1142" t="s">
        <v>1942</v>
      </c>
      <c r="F29" s="1142" t="s">
        <v>1942</v>
      </c>
      <c r="G29" s="1142" t="s">
        <v>1946</v>
      </c>
      <c r="H29" s="568"/>
      <c r="I29" s="568"/>
      <c r="J29" s="1141" t="s">
        <v>1955</v>
      </c>
      <c r="K29" s="1140"/>
      <c r="M29" s="553" t="str">
        <f t="shared" si="0"/>
        <v>○</v>
      </c>
      <c r="N29" s="553" t="str">
        <f t="shared" si="1"/>
        <v>○</v>
      </c>
      <c r="P29" s="170"/>
      <c r="Q29" s="977"/>
    </row>
    <row r="30" spans="1:17" ht="27">
      <c r="A30" s="567" t="s">
        <v>1279</v>
      </c>
      <c r="B30" s="1142" t="s">
        <v>1942</v>
      </c>
      <c r="C30" s="1142" t="s">
        <v>1343</v>
      </c>
      <c r="D30" s="1142" t="s">
        <v>1942</v>
      </c>
      <c r="E30" s="1142" t="s">
        <v>1942</v>
      </c>
      <c r="F30" s="1142" t="s">
        <v>1942</v>
      </c>
      <c r="G30" s="1142" t="s">
        <v>1944</v>
      </c>
      <c r="H30" s="568"/>
      <c r="I30" s="568"/>
      <c r="J30" s="1141" t="s">
        <v>1955</v>
      </c>
      <c r="K30" s="1140"/>
      <c r="M30" s="553" t="str">
        <f t="shared" si="0"/>
        <v>○</v>
      </c>
      <c r="N30" s="553" t="str">
        <f t="shared" si="1"/>
        <v>○</v>
      </c>
      <c r="P30" s="170"/>
      <c r="Q30" s="977"/>
    </row>
    <row r="31" spans="1:17" ht="27">
      <c r="A31" s="567" t="s">
        <v>1280</v>
      </c>
      <c r="B31" s="1142" t="s">
        <v>1343</v>
      </c>
      <c r="C31" s="1142" t="s">
        <v>1942</v>
      </c>
      <c r="D31" s="1142" t="s">
        <v>1343</v>
      </c>
      <c r="E31" s="1142" t="s">
        <v>1343</v>
      </c>
      <c r="F31" s="1142" t="s">
        <v>1343</v>
      </c>
      <c r="G31" s="1142" t="s">
        <v>1944</v>
      </c>
      <c r="H31" s="568"/>
      <c r="I31" s="568"/>
      <c r="J31" s="1141" t="s">
        <v>1955</v>
      </c>
      <c r="K31" s="1140"/>
      <c r="M31" s="553" t="str">
        <f>IF(COUNTBLANK(B31:G31)=0,"○","×")</f>
        <v>○</v>
      </c>
      <c r="N31" s="553" t="str">
        <f t="shared" ref="N31" si="2">IF(AND(COUNTIF(B31:F31,"◎")&gt;=1,J31=""),"×","○")</f>
        <v>○</v>
      </c>
      <c r="P31" s="170"/>
      <c r="Q31" s="977"/>
    </row>
    <row r="32" spans="1:17" ht="27">
      <c r="A32" s="567" t="s">
        <v>1281</v>
      </c>
      <c r="B32" s="1142" t="s">
        <v>1343</v>
      </c>
      <c r="C32" s="1142" t="s">
        <v>1942</v>
      </c>
      <c r="D32" s="1142" t="s">
        <v>1343</v>
      </c>
      <c r="E32" s="1142" t="s">
        <v>1343</v>
      </c>
      <c r="F32" s="1142" t="s">
        <v>1343</v>
      </c>
      <c r="G32" s="1142" t="s">
        <v>1944</v>
      </c>
      <c r="H32" s="568"/>
      <c r="I32" s="568"/>
      <c r="J32" s="1141" t="s">
        <v>1955</v>
      </c>
      <c r="K32" s="1140"/>
      <c r="M32" s="553" t="str">
        <f t="shared" si="0"/>
        <v>○</v>
      </c>
      <c r="N32" s="553" t="str">
        <f t="shared" si="1"/>
        <v>○</v>
      </c>
      <c r="P32" s="170"/>
      <c r="Q32" s="977"/>
    </row>
    <row r="33" spans="1:17" ht="27">
      <c r="A33" s="567" t="s">
        <v>1282</v>
      </c>
      <c r="B33" s="1142" t="s">
        <v>1942</v>
      </c>
      <c r="C33" s="90" t="s">
        <v>1343</v>
      </c>
      <c r="D33" s="569"/>
      <c r="E33" s="90" t="s">
        <v>1343</v>
      </c>
      <c r="F33" s="90" t="s">
        <v>1343</v>
      </c>
      <c r="G33" s="90" t="s">
        <v>1944</v>
      </c>
      <c r="H33" s="568"/>
      <c r="I33" s="568"/>
      <c r="J33" s="1141" t="s">
        <v>1955</v>
      </c>
      <c r="K33" s="1140"/>
      <c r="M33" s="570" t="str">
        <f>IF(OR(B33="",C33="",E33="",F33="",G33=""),"×","○")</f>
        <v>○</v>
      </c>
      <c r="N33" s="553" t="str">
        <f t="shared" si="1"/>
        <v>○</v>
      </c>
      <c r="P33" s="170"/>
      <c r="Q33" s="977"/>
    </row>
    <row r="34" spans="1:17" ht="27">
      <c r="A34" s="567" t="s">
        <v>1283</v>
      </c>
      <c r="B34" s="1142" t="s">
        <v>1343</v>
      </c>
      <c r="C34" s="1142" t="s">
        <v>1343</v>
      </c>
      <c r="D34" s="1142" t="s">
        <v>1343</v>
      </c>
      <c r="E34" s="1142" t="s">
        <v>1343</v>
      </c>
      <c r="F34" s="1142" t="s">
        <v>1942</v>
      </c>
      <c r="G34" s="1142" t="s">
        <v>1944</v>
      </c>
      <c r="H34" s="568"/>
      <c r="I34" s="568"/>
      <c r="J34" s="1141" t="s">
        <v>1955</v>
      </c>
      <c r="K34" s="1140"/>
      <c r="M34" s="553" t="str">
        <f t="shared" si="0"/>
        <v>○</v>
      </c>
      <c r="N34" s="553" t="str">
        <f t="shared" si="1"/>
        <v>○</v>
      </c>
      <c r="P34" s="170"/>
      <c r="Q34" s="977"/>
    </row>
    <row r="35" spans="1:17" ht="27">
      <c r="A35" s="567" t="s">
        <v>1284</v>
      </c>
      <c r="B35" s="1142" t="s">
        <v>1343</v>
      </c>
      <c r="C35" s="1142" t="s">
        <v>1343</v>
      </c>
      <c r="D35" s="1142" t="s">
        <v>1343</v>
      </c>
      <c r="E35" s="1142" t="s">
        <v>1343</v>
      </c>
      <c r="F35" s="1142" t="s">
        <v>1343</v>
      </c>
      <c r="G35" s="1142" t="s">
        <v>1946</v>
      </c>
      <c r="H35" s="568"/>
      <c r="I35" s="568"/>
      <c r="J35" s="1141" t="s">
        <v>1955</v>
      </c>
      <c r="K35" s="1140"/>
      <c r="M35" s="553" t="str">
        <f t="shared" si="0"/>
        <v>○</v>
      </c>
      <c r="N35" s="553" t="str">
        <f t="shared" si="1"/>
        <v>○</v>
      </c>
      <c r="P35" s="170"/>
      <c r="Q35" s="977"/>
    </row>
    <row r="36" spans="1:17">
      <c r="A36" s="567" t="s">
        <v>1285</v>
      </c>
      <c r="B36" s="1142" t="s">
        <v>1343</v>
      </c>
      <c r="C36" s="1142" t="s">
        <v>1343</v>
      </c>
      <c r="D36" s="1142" t="s">
        <v>1343</v>
      </c>
      <c r="E36" s="1142" t="s">
        <v>1343</v>
      </c>
      <c r="F36" s="1142" t="s">
        <v>1343</v>
      </c>
      <c r="G36" s="1142" t="s">
        <v>1944</v>
      </c>
      <c r="H36" s="568"/>
      <c r="I36" s="568"/>
      <c r="J36" s="1141" t="s">
        <v>1956</v>
      </c>
      <c r="K36" s="1140" t="s">
        <v>1957</v>
      </c>
      <c r="M36" s="553" t="str">
        <f t="shared" si="0"/>
        <v>○</v>
      </c>
      <c r="N36" s="553" t="str">
        <f t="shared" si="1"/>
        <v>○</v>
      </c>
      <c r="P36" s="170"/>
      <c r="Q36" s="977"/>
    </row>
    <row r="37" spans="1:17">
      <c r="A37" s="567" t="s">
        <v>1286</v>
      </c>
      <c r="B37" s="1142" t="s">
        <v>1942</v>
      </c>
      <c r="C37" s="1142" t="s">
        <v>1942</v>
      </c>
      <c r="D37" s="1142" t="s">
        <v>1942</v>
      </c>
      <c r="E37" s="1142" t="s">
        <v>1942</v>
      </c>
      <c r="F37" s="1142" t="s">
        <v>1942</v>
      </c>
      <c r="G37" s="1142" t="s">
        <v>1944</v>
      </c>
      <c r="H37" s="568"/>
      <c r="I37" s="568"/>
      <c r="J37" s="1141" t="s">
        <v>1958</v>
      </c>
      <c r="K37" s="1140" t="s">
        <v>1957</v>
      </c>
      <c r="M37" s="553" t="str">
        <f t="shared" si="0"/>
        <v>○</v>
      </c>
      <c r="N37" s="553" t="str">
        <f t="shared" si="1"/>
        <v>○</v>
      </c>
      <c r="P37" s="170"/>
      <c r="Q37" s="977"/>
    </row>
    <row r="38" spans="1:17" ht="27">
      <c r="A38" s="567" t="s">
        <v>1287</v>
      </c>
      <c r="B38" s="1142" t="s">
        <v>1942</v>
      </c>
      <c r="C38" s="1142" t="s">
        <v>1942</v>
      </c>
      <c r="D38" s="1142" t="s">
        <v>1942</v>
      </c>
      <c r="E38" s="1142" t="s">
        <v>1942</v>
      </c>
      <c r="F38" s="1142" t="s">
        <v>1942</v>
      </c>
      <c r="G38" s="1142" t="s">
        <v>1946</v>
      </c>
      <c r="H38" s="568"/>
      <c r="I38" s="568"/>
      <c r="J38" s="1141" t="s">
        <v>1959</v>
      </c>
      <c r="K38" s="1140" t="s">
        <v>1957</v>
      </c>
      <c r="M38" s="553" t="str">
        <f t="shared" si="0"/>
        <v>○</v>
      </c>
      <c r="N38" s="553" t="str">
        <f t="shared" si="1"/>
        <v>○</v>
      </c>
      <c r="P38" s="170"/>
      <c r="Q38" s="977"/>
    </row>
    <row r="39" spans="1:17" ht="27">
      <c r="A39" s="567" t="s">
        <v>1288</v>
      </c>
      <c r="B39" s="1142" t="s">
        <v>1942</v>
      </c>
      <c r="C39" s="1142" t="s">
        <v>1942</v>
      </c>
      <c r="D39" s="1142" t="s">
        <v>1343</v>
      </c>
      <c r="E39" s="1142" t="s">
        <v>1343</v>
      </c>
      <c r="F39" s="1142" t="s">
        <v>1343</v>
      </c>
      <c r="G39" s="1142" t="s">
        <v>1944</v>
      </c>
      <c r="H39" s="568"/>
      <c r="I39" s="568"/>
      <c r="J39" s="1141" t="s">
        <v>1959</v>
      </c>
      <c r="K39" s="1140" t="s">
        <v>1957</v>
      </c>
      <c r="M39" s="553" t="str">
        <f t="shared" si="0"/>
        <v>○</v>
      </c>
      <c r="N39" s="553" t="str">
        <f t="shared" si="1"/>
        <v>○</v>
      </c>
      <c r="P39" s="170"/>
      <c r="Q39" s="977"/>
    </row>
    <row r="40" spans="1:17" ht="27">
      <c r="A40" s="567" t="s">
        <v>1289</v>
      </c>
      <c r="B40" s="1142" t="s">
        <v>1942</v>
      </c>
      <c r="C40" s="1142" t="s">
        <v>1942</v>
      </c>
      <c r="D40" s="1142" t="s">
        <v>1942</v>
      </c>
      <c r="E40" s="1142" t="s">
        <v>1942</v>
      </c>
      <c r="F40" s="1142" t="s">
        <v>1942</v>
      </c>
      <c r="G40" s="1142" t="s">
        <v>1946</v>
      </c>
      <c r="H40" s="568"/>
      <c r="I40" s="568"/>
      <c r="J40" s="1141" t="s">
        <v>1959</v>
      </c>
      <c r="K40" s="1140" t="s">
        <v>1957</v>
      </c>
      <c r="M40" s="553" t="str">
        <f t="shared" si="0"/>
        <v>○</v>
      </c>
      <c r="N40" s="553" t="str">
        <f t="shared" si="1"/>
        <v>○</v>
      </c>
      <c r="P40" s="170"/>
      <c r="Q40" s="977"/>
    </row>
    <row r="41" spans="1:17" ht="27">
      <c r="A41" s="567" t="s">
        <v>1290</v>
      </c>
      <c r="B41" s="1142" t="s">
        <v>1942</v>
      </c>
      <c r="C41" s="1142" t="s">
        <v>1942</v>
      </c>
      <c r="D41" s="1142" t="s">
        <v>1942</v>
      </c>
      <c r="E41" s="1142" t="s">
        <v>1942</v>
      </c>
      <c r="F41" s="1142" t="s">
        <v>1942</v>
      </c>
      <c r="G41" s="1142" t="s">
        <v>1946</v>
      </c>
      <c r="H41" s="568"/>
      <c r="I41" s="568"/>
      <c r="J41" s="1141" t="s">
        <v>1959</v>
      </c>
      <c r="K41" s="1140" t="s">
        <v>1957</v>
      </c>
      <c r="M41" s="553" t="str">
        <f>IF(COUNTBLANK(B41:G41)=0,"○","×")</f>
        <v>○</v>
      </c>
      <c r="N41" s="553" t="str">
        <f t="shared" si="1"/>
        <v>○</v>
      </c>
      <c r="P41" s="170"/>
      <c r="Q41" s="977"/>
    </row>
    <row r="42" spans="1:17" ht="27">
      <c r="A42" s="567" t="s">
        <v>1291</v>
      </c>
      <c r="B42" s="1142" t="s">
        <v>1942</v>
      </c>
      <c r="C42" s="90" t="s">
        <v>1942</v>
      </c>
      <c r="D42" s="569"/>
      <c r="E42" s="90" t="s">
        <v>1942</v>
      </c>
      <c r="F42" s="90" t="s">
        <v>1942</v>
      </c>
      <c r="G42" s="90" t="s">
        <v>1946</v>
      </c>
      <c r="H42" s="568"/>
      <c r="I42" s="568"/>
      <c r="J42" s="1141" t="s">
        <v>1959</v>
      </c>
      <c r="K42" s="1140" t="s">
        <v>1957</v>
      </c>
      <c r="M42" s="570" t="str">
        <f>IF(OR(B42="",C42="",E42="",F42="",G42=""),"×","○")</f>
        <v>○</v>
      </c>
      <c r="N42" s="553" t="str">
        <f t="shared" si="1"/>
        <v>○</v>
      </c>
      <c r="P42" s="170"/>
      <c r="Q42" s="977"/>
    </row>
    <row r="43" spans="1:17" ht="27">
      <c r="A43" s="567" t="s">
        <v>1292</v>
      </c>
      <c r="B43" s="1142" t="s">
        <v>1942</v>
      </c>
      <c r="C43" s="1142" t="s">
        <v>1942</v>
      </c>
      <c r="D43" s="1142" t="s">
        <v>1942</v>
      </c>
      <c r="E43" s="1142" t="s">
        <v>1942</v>
      </c>
      <c r="F43" s="1142" t="s">
        <v>1942</v>
      </c>
      <c r="G43" s="1142" t="s">
        <v>1944</v>
      </c>
      <c r="H43" s="568" t="s">
        <v>1293</v>
      </c>
      <c r="I43" s="568"/>
      <c r="J43" s="1141" t="s">
        <v>1959</v>
      </c>
      <c r="K43" s="1140" t="s">
        <v>1957</v>
      </c>
      <c r="M43" s="553" t="str">
        <f t="shared" si="0"/>
        <v>○</v>
      </c>
      <c r="N43" s="553" t="str">
        <f t="shared" si="1"/>
        <v>○</v>
      </c>
      <c r="P43" s="170"/>
      <c r="Q43" s="977"/>
    </row>
    <row r="44" spans="1:17">
      <c r="A44" s="567" t="s">
        <v>1294</v>
      </c>
      <c r="B44" s="1142" t="s">
        <v>1942</v>
      </c>
      <c r="C44" s="1142" t="s">
        <v>1942</v>
      </c>
      <c r="D44" s="1142" t="s">
        <v>1942</v>
      </c>
      <c r="E44" s="1142" t="s">
        <v>1942</v>
      </c>
      <c r="F44" s="1142" t="s">
        <v>1942</v>
      </c>
      <c r="G44" s="1142" t="s">
        <v>1944</v>
      </c>
      <c r="H44" s="568"/>
      <c r="I44" s="568"/>
      <c r="J44" s="1141" t="s">
        <v>1956</v>
      </c>
      <c r="K44" s="1140" t="s">
        <v>1957</v>
      </c>
      <c r="M44" s="553" t="str">
        <f t="shared" si="0"/>
        <v>○</v>
      </c>
      <c r="N44" s="553" t="str">
        <f t="shared" si="1"/>
        <v>○</v>
      </c>
      <c r="P44" s="170"/>
      <c r="Q44" s="977"/>
    </row>
    <row r="45" spans="1:17">
      <c r="A45" s="567" t="s">
        <v>1295</v>
      </c>
      <c r="B45" s="1142" t="s">
        <v>1942</v>
      </c>
      <c r="C45" s="1142" t="s">
        <v>1942</v>
      </c>
      <c r="D45" s="1142" t="s">
        <v>1942</v>
      </c>
      <c r="E45" s="1142" t="s">
        <v>1942</v>
      </c>
      <c r="F45" s="1142" t="s">
        <v>1942</v>
      </c>
      <c r="G45" s="1142" t="s">
        <v>1944</v>
      </c>
      <c r="H45" s="568" t="s">
        <v>1296</v>
      </c>
      <c r="I45" s="568"/>
      <c r="J45" s="1141" t="s">
        <v>1956</v>
      </c>
      <c r="K45" s="1140" t="s">
        <v>1957</v>
      </c>
      <c r="M45" s="553" t="str">
        <f t="shared" si="0"/>
        <v>○</v>
      </c>
      <c r="N45" s="553" t="str">
        <f t="shared" si="1"/>
        <v>○</v>
      </c>
      <c r="P45" s="170"/>
      <c r="Q45" s="977"/>
    </row>
    <row r="46" spans="1:17">
      <c r="A46" s="567" t="s">
        <v>1297</v>
      </c>
      <c r="B46" s="1142" t="s">
        <v>1942</v>
      </c>
      <c r="C46" s="1142" t="s">
        <v>1942</v>
      </c>
      <c r="D46" s="1142" t="s">
        <v>1942</v>
      </c>
      <c r="E46" s="1142" t="s">
        <v>1942</v>
      </c>
      <c r="F46" s="1142" t="s">
        <v>1942</v>
      </c>
      <c r="G46" s="1142" t="s">
        <v>1944</v>
      </c>
      <c r="H46" s="568"/>
      <c r="I46" s="568"/>
      <c r="J46" s="1141" t="s">
        <v>1956</v>
      </c>
      <c r="K46" s="1140" t="s">
        <v>1957</v>
      </c>
      <c r="M46" s="553" t="str">
        <f t="shared" si="0"/>
        <v>○</v>
      </c>
      <c r="N46" s="553" t="str">
        <f t="shared" si="1"/>
        <v>○</v>
      </c>
      <c r="P46" s="170"/>
      <c r="Q46" s="977"/>
    </row>
    <row r="47" spans="1:17">
      <c r="A47" s="567" t="s">
        <v>1298</v>
      </c>
      <c r="B47" s="1142" t="s">
        <v>1942</v>
      </c>
      <c r="C47" s="1142" t="s">
        <v>1942</v>
      </c>
      <c r="D47" s="1142" t="s">
        <v>1942</v>
      </c>
      <c r="E47" s="1142" t="s">
        <v>1942</v>
      </c>
      <c r="F47" s="1142" t="s">
        <v>1942</v>
      </c>
      <c r="G47" s="1142" t="s">
        <v>1944</v>
      </c>
      <c r="H47" s="568" t="s">
        <v>1293</v>
      </c>
      <c r="I47" s="568"/>
      <c r="J47" s="1141" t="s">
        <v>1956</v>
      </c>
      <c r="K47" s="1140" t="s">
        <v>1957</v>
      </c>
      <c r="M47" s="553" t="str">
        <f t="shared" si="0"/>
        <v>○</v>
      </c>
      <c r="N47" s="553" t="str">
        <f t="shared" si="1"/>
        <v>○</v>
      </c>
      <c r="P47" s="170"/>
      <c r="Q47" s="977"/>
    </row>
    <row r="48" spans="1:17">
      <c r="A48" s="567" t="s">
        <v>1299</v>
      </c>
      <c r="B48" s="1142" t="s">
        <v>1343</v>
      </c>
      <c r="C48" s="90" t="s">
        <v>1343</v>
      </c>
      <c r="D48" s="569"/>
      <c r="E48" s="90" t="s">
        <v>1943</v>
      </c>
      <c r="F48" s="90" t="s">
        <v>1343</v>
      </c>
      <c r="G48" s="90" t="s">
        <v>1944</v>
      </c>
      <c r="H48" s="571"/>
      <c r="I48" s="571"/>
      <c r="J48" s="1141" t="s">
        <v>1956</v>
      </c>
      <c r="K48" s="1140" t="s">
        <v>1957</v>
      </c>
      <c r="M48" s="570" t="str">
        <f>IF(OR(B48="",C48="",E48="",F48="",G48=""),"×","○")</f>
        <v>○</v>
      </c>
      <c r="N48" s="553" t="str">
        <f t="shared" si="1"/>
        <v>○</v>
      </c>
      <c r="P48" s="170"/>
      <c r="Q48" s="977"/>
    </row>
    <row r="49" spans="1:17">
      <c r="A49" s="567" t="s">
        <v>1300</v>
      </c>
      <c r="B49" s="1142" t="s">
        <v>1943</v>
      </c>
      <c r="C49" s="1142" t="s">
        <v>1943</v>
      </c>
      <c r="D49" s="1142" t="s">
        <v>1943</v>
      </c>
      <c r="E49" s="1142" t="s">
        <v>1943</v>
      </c>
      <c r="F49" s="1142" t="s">
        <v>1943</v>
      </c>
      <c r="G49" s="1142" t="s">
        <v>1944</v>
      </c>
      <c r="H49" s="571"/>
      <c r="I49" s="571"/>
      <c r="J49" s="1141" t="s">
        <v>1960</v>
      </c>
      <c r="K49" s="1140"/>
      <c r="M49" s="553" t="str">
        <f t="shared" si="0"/>
        <v>○</v>
      </c>
      <c r="N49" s="553" t="str">
        <f t="shared" si="1"/>
        <v>○</v>
      </c>
      <c r="P49" s="170"/>
      <c r="Q49" s="977"/>
    </row>
    <row r="50" spans="1:17">
      <c r="A50" s="567" t="s">
        <v>1301</v>
      </c>
      <c r="B50" s="1142" t="s">
        <v>1942</v>
      </c>
      <c r="C50" s="1142" t="s">
        <v>1942</v>
      </c>
      <c r="D50" s="1142" t="s">
        <v>1343</v>
      </c>
      <c r="E50" s="1142" t="s">
        <v>1942</v>
      </c>
      <c r="F50" s="1142" t="s">
        <v>1343</v>
      </c>
      <c r="G50" s="1142" t="s">
        <v>1944</v>
      </c>
      <c r="H50" s="568"/>
      <c r="I50" s="568"/>
      <c r="J50" s="1141" t="s">
        <v>1961</v>
      </c>
      <c r="K50" s="1140"/>
      <c r="M50" s="553" t="str">
        <f t="shared" si="0"/>
        <v>○</v>
      </c>
      <c r="N50" s="553" t="str">
        <f t="shared" si="1"/>
        <v>○</v>
      </c>
      <c r="P50" s="170"/>
      <c r="Q50" s="977"/>
    </row>
    <row r="51" spans="1:17">
      <c r="A51" s="567" t="s">
        <v>1302</v>
      </c>
      <c r="B51" s="1142" t="s">
        <v>1942</v>
      </c>
      <c r="C51" s="90" t="s">
        <v>1942</v>
      </c>
      <c r="D51" s="569"/>
      <c r="E51" s="90" t="s">
        <v>1942</v>
      </c>
      <c r="F51" s="90" t="s">
        <v>1942</v>
      </c>
      <c r="G51" s="90" t="s">
        <v>1944</v>
      </c>
      <c r="H51" s="568"/>
      <c r="I51" s="568"/>
      <c r="J51" s="1141" t="s">
        <v>1961</v>
      </c>
      <c r="K51" s="1140"/>
      <c r="M51" s="570" t="str">
        <f>IF(OR(B51="",C51="",E51="",F51="",G51=""),"×","○")</f>
        <v>○</v>
      </c>
      <c r="N51" s="553" t="str">
        <f t="shared" si="1"/>
        <v>○</v>
      </c>
      <c r="P51" s="170"/>
      <c r="Q51" s="977"/>
    </row>
    <row r="52" spans="1:17">
      <c r="A52" s="567" t="s">
        <v>1303</v>
      </c>
      <c r="B52" s="1142" t="s">
        <v>1942</v>
      </c>
      <c r="C52" s="1142" t="s">
        <v>1942</v>
      </c>
      <c r="D52" s="1142" t="s">
        <v>1343</v>
      </c>
      <c r="E52" s="1142" t="s">
        <v>1343</v>
      </c>
      <c r="F52" s="1142" t="s">
        <v>1343</v>
      </c>
      <c r="G52" s="1142" t="s">
        <v>1944</v>
      </c>
      <c r="H52" s="568"/>
      <c r="I52" s="568"/>
      <c r="J52" s="1141" t="s">
        <v>1961</v>
      </c>
      <c r="K52" s="1140"/>
      <c r="M52" s="553" t="str">
        <f>IF(COUNTBLANK(B52:G52)=0,"○","×")</f>
        <v>○</v>
      </c>
      <c r="N52" s="553" t="str">
        <f t="shared" si="1"/>
        <v>○</v>
      </c>
      <c r="P52" s="170"/>
      <c r="Q52" s="977"/>
    </row>
    <row r="53" spans="1:17">
      <c r="A53" s="567" t="s">
        <v>1304</v>
      </c>
      <c r="B53" s="1142" t="s">
        <v>1942</v>
      </c>
      <c r="C53" s="1142" t="s">
        <v>1942</v>
      </c>
      <c r="D53" s="1142" t="s">
        <v>1343</v>
      </c>
      <c r="E53" s="1142" t="s">
        <v>1343</v>
      </c>
      <c r="F53" s="1142" t="s">
        <v>1343</v>
      </c>
      <c r="G53" s="1142" t="s">
        <v>1944</v>
      </c>
      <c r="H53" s="568"/>
      <c r="I53" s="568"/>
      <c r="J53" s="1141" t="s">
        <v>1961</v>
      </c>
      <c r="K53" s="1140"/>
      <c r="M53" s="553" t="str">
        <f t="shared" si="0"/>
        <v>○</v>
      </c>
      <c r="N53" s="553" t="str">
        <f t="shared" si="1"/>
        <v>○</v>
      </c>
      <c r="P53" s="170"/>
      <c r="Q53" s="977"/>
    </row>
    <row r="54" spans="1:17">
      <c r="A54" s="567" t="s">
        <v>1305</v>
      </c>
      <c r="B54" s="1142" t="s">
        <v>1942</v>
      </c>
      <c r="C54" s="1142" t="s">
        <v>1942</v>
      </c>
      <c r="D54" s="1142" t="s">
        <v>1942</v>
      </c>
      <c r="E54" s="1142" t="s">
        <v>1942</v>
      </c>
      <c r="F54" s="1142" t="s">
        <v>1942</v>
      </c>
      <c r="G54" s="1142" t="s">
        <v>1946</v>
      </c>
      <c r="H54" s="568" t="s">
        <v>1306</v>
      </c>
      <c r="I54" s="568"/>
      <c r="J54" s="1141" t="s">
        <v>1961</v>
      </c>
      <c r="K54" s="1140"/>
      <c r="M54" s="553" t="str">
        <f t="shared" si="0"/>
        <v>○</v>
      </c>
      <c r="N54" s="553" t="str">
        <f t="shared" si="1"/>
        <v>○</v>
      </c>
      <c r="P54" s="170"/>
      <c r="Q54" s="977"/>
    </row>
    <row r="55" spans="1:17">
      <c r="A55" s="567" t="s">
        <v>1307</v>
      </c>
      <c r="B55" s="1142" t="s">
        <v>1942</v>
      </c>
      <c r="C55" s="1142" t="s">
        <v>1942</v>
      </c>
      <c r="D55" s="1142" t="s">
        <v>1343</v>
      </c>
      <c r="E55" s="1142" t="s">
        <v>1942</v>
      </c>
      <c r="F55" s="1142" t="s">
        <v>1942</v>
      </c>
      <c r="G55" s="1142" t="s">
        <v>1944</v>
      </c>
      <c r="H55" s="568"/>
      <c r="I55" s="568"/>
      <c r="J55" s="1141" t="s">
        <v>1961</v>
      </c>
      <c r="K55" s="1140"/>
      <c r="M55" s="553" t="str">
        <f t="shared" si="0"/>
        <v>○</v>
      </c>
      <c r="N55" s="553" t="str">
        <f t="shared" si="1"/>
        <v>○</v>
      </c>
      <c r="P55" s="170"/>
      <c r="Q55" s="977"/>
    </row>
    <row r="56" spans="1:17">
      <c r="A56" s="567" t="s">
        <v>1308</v>
      </c>
      <c r="B56" s="1142" t="s">
        <v>1942</v>
      </c>
      <c r="C56" s="1142" t="s">
        <v>1942</v>
      </c>
      <c r="D56" s="1142" t="s">
        <v>1942</v>
      </c>
      <c r="E56" s="1142" t="s">
        <v>1942</v>
      </c>
      <c r="F56" s="1142" t="s">
        <v>1942</v>
      </c>
      <c r="G56" s="1142" t="s">
        <v>1944</v>
      </c>
      <c r="H56" s="568"/>
      <c r="I56" s="568"/>
      <c r="J56" s="1141" t="s">
        <v>1961</v>
      </c>
      <c r="K56" s="1140"/>
      <c r="M56" s="553" t="str">
        <f t="shared" si="0"/>
        <v>○</v>
      </c>
      <c r="N56" s="553" t="str">
        <f t="shared" si="1"/>
        <v>○</v>
      </c>
      <c r="P56" s="170"/>
      <c r="Q56" s="977"/>
    </row>
    <row r="57" spans="1:17">
      <c r="A57" s="567" t="s">
        <v>1309</v>
      </c>
      <c r="B57" s="1142" t="s">
        <v>1942</v>
      </c>
      <c r="C57" s="1142" t="s">
        <v>1942</v>
      </c>
      <c r="D57" s="1142" t="s">
        <v>1942</v>
      </c>
      <c r="E57" s="1142" t="s">
        <v>1942</v>
      </c>
      <c r="F57" s="1142" t="s">
        <v>1942</v>
      </c>
      <c r="G57" s="1142" t="s">
        <v>1944</v>
      </c>
      <c r="H57" s="568"/>
      <c r="I57" s="568"/>
      <c r="J57" s="1141" t="s">
        <v>1962</v>
      </c>
      <c r="K57" s="1140"/>
      <c r="M57" s="553" t="str">
        <f t="shared" si="0"/>
        <v>○</v>
      </c>
      <c r="N57" s="553" t="str">
        <f t="shared" si="1"/>
        <v>○</v>
      </c>
      <c r="P57" s="170"/>
      <c r="Q57" s="977"/>
    </row>
    <row r="58" spans="1:17">
      <c r="A58" s="567" t="s">
        <v>1310</v>
      </c>
      <c r="B58" s="1142" t="s">
        <v>1942</v>
      </c>
      <c r="C58" s="1142" t="s">
        <v>1942</v>
      </c>
      <c r="D58" s="1142" t="s">
        <v>1942</v>
      </c>
      <c r="E58" s="1142" t="s">
        <v>1942</v>
      </c>
      <c r="F58" s="1142" t="s">
        <v>1942</v>
      </c>
      <c r="G58" s="1142" t="s">
        <v>1944</v>
      </c>
      <c r="H58" s="568"/>
      <c r="I58" s="568"/>
      <c r="J58" s="1141" t="s">
        <v>1962</v>
      </c>
      <c r="K58" s="1140"/>
      <c r="M58" s="553" t="str">
        <f t="shared" si="0"/>
        <v>○</v>
      </c>
      <c r="N58" s="553" t="str">
        <f t="shared" si="1"/>
        <v>○</v>
      </c>
      <c r="P58" s="170"/>
      <c r="Q58" s="977"/>
    </row>
    <row r="59" spans="1:17">
      <c r="A59" s="567" t="s">
        <v>1311</v>
      </c>
      <c r="B59" s="1142" t="s">
        <v>1942</v>
      </c>
      <c r="C59" s="1142" t="s">
        <v>1942</v>
      </c>
      <c r="D59" s="1142" t="s">
        <v>1942</v>
      </c>
      <c r="E59" s="1142" t="s">
        <v>1942</v>
      </c>
      <c r="F59" s="1142" t="s">
        <v>1942</v>
      </c>
      <c r="G59" s="1142" t="s">
        <v>1944</v>
      </c>
      <c r="H59" s="568"/>
      <c r="I59" s="568"/>
      <c r="J59" s="1141" t="s">
        <v>1962</v>
      </c>
      <c r="K59" s="1140"/>
      <c r="M59" s="553" t="str">
        <f t="shared" si="0"/>
        <v>○</v>
      </c>
      <c r="N59" s="553" t="str">
        <f t="shared" si="1"/>
        <v>○</v>
      </c>
      <c r="P59" s="170"/>
      <c r="Q59" s="977"/>
    </row>
    <row r="60" spans="1:17">
      <c r="A60" s="567" t="s">
        <v>1312</v>
      </c>
      <c r="B60" s="1142" t="s">
        <v>1942</v>
      </c>
      <c r="C60" s="90" t="s">
        <v>1942</v>
      </c>
      <c r="D60" s="569"/>
      <c r="E60" s="90" t="s">
        <v>1942</v>
      </c>
      <c r="F60" s="90" t="s">
        <v>1942</v>
      </c>
      <c r="G60" s="90" t="s">
        <v>1944</v>
      </c>
      <c r="H60" s="568"/>
      <c r="I60" s="568"/>
      <c r="J60" s="1141" t="s">
        <v>1962</v>
      </c>
      <c r="K60" s="1140"/>
      <c r="M60" s="570" t="str">
        <f>IF(OR(B60="",C60="",E60="",F60="",G60=""),"×","○")</f>
        <v>○</v>
      </c>
      <c r="N60" s="553" t="str">
        <f t="shared" si="1"/>
        <v>○</v>
      </c>
      <c r="P60" s="170"/>
      <c r="Q60" s="977"/>
    </row>
    <row r="61" spans="1:17">
      <c r="A61" s="572" t="s">
        <v>1313</v>
      </c>
      <c r="B61" s="1142" t="s">
        <v>1942</v>
      </c>
      <c r="C61" s="90" t="s">
        <v>1343</v>
      </c>
      <c r="D61" s="569"/>
      <c r="E61" s="90" t="s">
        <v>1343</v>
      </c>
      <c r="F61" s="90" t="s">
        <v>1343</v>
      </c>
      <c r="G61" s="90" t="s">
        <v>1944</v>
      </c>
      <c r="H61" s="568"/>
      <c r="I61" s="568"/>
      <c r="J61" s="1141" t="s">
        <v>1962</v>
      </c>
      <c r="K61" s="1140"/>
      <c r="L61" s="573"/>
      <c r="M61" s="570" t="str">
        <f>IF(OR(B61="",C61="",E61="",F61="",G61=""),"×","○")</f>
        <v>○</v>
      </c>
      <c r="N61" s="553" t="str">
        <f t="shared" si="1"/>
        <v>○</v>
      </c>
      <c r="P61" s="170"/>
      <c r="Q61" s="977"/>
    </row>
    <row r="62" spans="1:17" ht="27">
      <c r="A62" s="567" t="s">
        <v>1314</v>
      </c>
      <c r="B62" s="1142" t="s">
        <v>1942</v>
      </c>
      <c r="C62" s="1142" t="s">
        <v>1343</v>
      </c>
      <c r="D62" s="1142" t="s">
        <v>1343</v>
      </c>
      <c r="E62" s="1142" t="s">
        <v>1343</v>
      </c>
      <c r="F62" s="1142" t="s">
        <v>1343</v>
      </c>
      <c r="G62" s="1142" t="s">
        <v>1944</v>
      </c>
      <c r="H62" s="568"/>
      <c r="I62" s="568"/>
      <c r="J62" s="1141" t="s">
        <v>1963</v>
      </c>
      <c r="K62" s="1140"/>
      <c r="L62" s="573"/>
      <c r="M62" s="553" t="str">
        <f t="shared" si="0"/>
        <v>○</v>
      </c>
      <c r="N62" s="553" t="str">
        <f t="shared" si="1"/>
        <v>○</v>
      </c>
      <c r="P62" s="170"/>
      <c r="Q62" s="977"/>
    </row>
    <row r="63" spans="1:17">
      <c r="A63" s="567" t="s">
        <v>1315</v>
      </c>
      <c r="B63" s="1142" t="s">
        <v>1942</v>
      </c>
      <c r="C63" s="1142" t="s">
        <v>1343</v>
      </c>
      <c r="D63" s="1142" t="s">
        <v>1343</v>
      </c>
      <c r="E63" s="1142" t="s">
        <v>1343</v>
      </c>
      <c r="F63" s="1142" t="s">
        <v>1343</v>
      </c>
      <c r="G63" s="1142" t="s">
        <v>1944</v>
      </c>
      <c r="H63" s="568"/>
      <c r="I63" s="568"/>
      <c r="J63" s="1141" t="s">
        <v>1964</v>
      </c>
      <c r="K63" s="1140"/>
      <c r="L63" s="573"/>
      <c r="M63" s="553" t="str">
        <f t="shared" si="0"/>
        <v>○</v>
      </c>
      <c r="N63" s="553" t="str">
        <f t="shared" si="1"/>
        <v>○</v>
      </c>
      <c r="P63" s="170"/>
      <c r="Q63" s="977"/>
    </row>
    <row r="64" spans="1:17">
      <c r="A64" s="567" t="s">
        <v>1316</v>
      </c>
      <c r="B64" s="1142" t="s">
        <v>1943</v>
      </c>
      <c r="C64" s="1142" t="s">
        <v>1943</v>
      </c>
      <c r="D64" s="1142" t="s">
        <v>1943</v>
      </c>
      <c r="E64" s="1142" t="s">
        <v>1943</v>
      </c>
      <c r="F64" s="1142" t="s">
        <v>1943</v>
      </c>
      <c r="G64" s="1142" t="s">
        <v>1944</v>
      </c>
      <c r="H64" s="568"/>
      <c r="I64" s="568"/>
      <c r="J64" s="1141" t="s">
        <v>1960</v>
      </c>
      <c r="K64" s="1140"/>
      <c r="L64" s="573"/>
      <c r="M64" s="553" t="str">
        <f t="shared" si="0"/>
        <v>○</v>
      </c>
      <c r="N64" s="553" t="str">
        <f t="shared" si="1"/>
        <v>○</v>
      </c>
      <c r="P64" s="170"/>
      <c r="Q64" s="977"/>
    </row>
    <row r="65" spans="1:17">
      <c r="A65" s="567" t="s">
        <v>1317</v>
      </c>
      <c r="B65" s="1142" t="s">
        <v>1943</v>
      </c>
      <c r="C65" s="1142" t="s">
        <v>1943</v>
      </c>
      <c r="D65" s="1142" t="s">
        <v>1943</v>
      </c>
      <c r="E65" s="1142" t="s">
        <v>1943</v>
      </c>
      <c r="F65" s="1142" t="s">
        <v>1943</v>
      </c>
      <c r="G65" s="1142" t="s">
        <v>1944</v>
      </c>
      <c r="H65" s="568"/>
      <c r="I65" s="568"/>
      <c r="J65" s="1141" t="s">
        <v>1960</v>
      </c>
      <c r="K65" s="1140"/>
      <c r="L65" s="573"/>
      <c r="M65" s="553" t="str">
        <f>IF(COUNTBLANK(B65:G65)=0,"○","×")</f>
        <v>○</v>
      </c>
      <c r="N65" s="553" t="str">
        <f t="shared" ref="N65" si="3">IF(AND(COUNTIF(B65:F65,"◎")&gt;=1,J65=""),"×","○")</f>
        <v>○</v>
      </c>
      <c r="P65" s="170"/>
      <c r="Q65" s="977"/>
    </row>
    <row r="66" spans="1:17">
      <c r="A66" s="567" t="s">
        <v>1318</v>
      </c>
      <c r="B66" s="1142" t="s">
        <v>1942</v>
      </c>
      <c r="C66" s="1142" t="s">
        <v>1942</v>
      </c>
      <c r="D66" s="1142" t="s">
        <v>1942</v>
      </c>
      <c r="E66" s="1142" t="s">
        <v>1942</v>
      </c>
      <c r="F66" s="1142" t="s">
        <v>1942</v>
      </c>
      <c r="G66" s="1142" t="s">
        <v>1944</v>
      </c>
      <c r="H66" s="568"/>
      <c r="I66" s="568"/>
      <c r="J66" s="1141" t="s">
        <v>1965</v>
      </c>
      <c r="K66" s="1140"/>
      <c r="L66" s="573"/>
      <c r="M66" s="553" t="str">
        <f t="shared" si="0"/>
        <v>○</v>
      </c>
      <c r="N66" s="553" t="str">
        <f t="shared" si="1"/>
        <v>○</v>
      </c>
      <c r="P66" s="170"/>
      <c r="Q66" s="977"/>
    </row>
    <row r="67" spans="1:17">
      <c r="A67" s="567" t="s">
        <v>1319</v>
      </c>
      <c r="B67" s="1142" t="s">
        <v>1942</v>
      </c>
      <c r="C67" s="1142" t="s">
        <v>1942</v>
      </c>
      <c r="D67" s="1142" t="s">
        <v>1942</v>
      </c>
      <c r="E67" s="1142" t="s">
        <v>1942</v>
      </c>
      <c r="F67" s="1142" t="s">
        <v>1942</v>
      </c>
      <c r="G67" s="1142" t="s">
        <v>1944</v>
      </c>
      <c r="H67" s="568"/>
      <c r="I67" s="568"/>
      <c r="J67" s="1141" t="s">
        <v>1965</v>
      </c>
      <c r="K67" s="1140"/>
      <c r="L67" s="573"/>
      <c r="M67" s="553" t="str">
        <f t="shared" si="0"/>
        <v>○</v>
      </c>
      <c r="N67" s="553" t="str">
        <f t="shared" si="1"/>
        <v>○</v>
      </c>
      <c r="P67" s="170"/>
      <c r="Q67" s="977"/>
    </row>
    <row r="68" spans="1:17">
      <c r="A68" s="567" t="s">
        <v>1320</v>
      </c>
      <c r="B68" s="1142" t="s">
        <v>1942</v>
      </c>
      <c r="C68" s="569"/>
      <c r="D68" s="1142" t="s">
        <v>1942</v>
      </c>
      <c r="E68" s="1142" t="s">
        <v>1942</v>
      </c>
      <c r="F68" s="1142" t="s">
        <v>1942</v>
      </c>
      <c r="G68" s="1142" t="s">
        <v>1944</v>
      </c>
      <c r="H68" s="568"/>
      <c r="I68" s="568"/>
      <c r="J68" s="1140" t="s">
        <v>1966</v>
      </c>
      <c r="K68" s="1140" t="s">
        <v>1967</v>
      </c>
      <c r="L68" s="573"/>
      <c r="M68" s="570" t="str">
        <f>IF(OR(B68="",D68="",E68="",F68="",G68=""),"×","○")</f>
        <v>○</v>
      </c>
      <c r="N68" s="553" t="str">
        <f t="shared" si="1"/>
        <v>○</v>
      </c>
      <c r="P68" s="170"/>
      <c r="Q68" s="977"/>
    </row>
    <row r="69" spans="1:17">
      <c r="A69" s="567" t="s">
        <v>1321</v>
      </c>
      <c r="B69" s="1142" t="s">
        <v>1942</v>
      </c>
      <c r="C69" s="569"/>
      <c r="D69" s="1142" t="s">
        <v>1343</v>
      </c>
      <c r="E69" s="1142" t="s">
        <v>1942</v>
      </c>
      <c r="F69" s="1142" t="s">
        <v>1942</v>
      </c>
      <c r="G69" s="1142" t="s">
        <v>1944</v>
      </c>
      <c r="H69" s="568"/>
      <c r="I69" s="568"/>
      <c r="J69" s="1141" t="s">
        <v>1966</v>
      </c>
      <c r="K69" s="1140"/>
      <c r="L69" s="573"/>
      <c r="M69" s="570" t="str">
        <f>IF(OR(B69="",D69="",E69="",F69="",G69=""),"×","○")</f>
        <v>○</v>
      </c>
      <c r="N69" s="553" t="str">
        <f t="shared" si="1"/>
        <v>○</v>
      </c>
      <c r="P69" s="170"/>
      <c r="Q69" s="977"/>
    </row>
    <row r="70" spans="1:17">
      <c r="A70" s="567" t="s">
        <v>1322</v>
      </c>
      <c r="B70" s="1142" t="s">
        <v>1942</v>
      </c>
      <c r="C70" s="569"/>
      <c r="D70" s="1142" t="s">
        <v>1343</v>
      </c>
      <c r="E70" s="1142" t="s">
        <v>1942</v>
      </c>
      <c r="F70" s="1142" t="s">
        <v>1942</v>
      </c>
      <c r="G70" s="1142" t="s">
        <v>1944</v>
      </c>
      <c r="H70" s="568"/>
      <c r="I70" s="568"/>
      <c r="J70" s="1141" t="s">
        <v>1966</v>
      </c>
      <c r="K70" s="1140"/>
      <c r="L70" s="573"/>
      <c r="M70" s="570" t="str">
        <f>IF(OR(B70="",D70="",E70="",F70="",G70=""),"×","○")</f>
        <v>○</v>
      </c>
      <c r="N70" s="553" t="str">
        <f t="shared" si="1"/>
        <v>○</v>
      </c>
      <c r="P70" s="170"/>
      <c r="Q70" s="977"/>
    </row>
    <row r="71" spans="1:17">
      <c r="A71" s="567" t="s">
        <v>1323</v>
      </c>
      <c r="B71" s="1142" t="s">
        <v>1942</v>
      </c>
      <c r="C71" s="569"/>
      <c r="D71" s="1142" t="s">
        <v>1942</v>
      </c>
      <c r="E71" s="1142" t="s">
        <v>1942</v>
      </c>
      <c r="F71" s="1142" t="s">
        <v>1942</v>
      </c>
      <c r="G71" s="1142" t="s">
        <v>1946</v>
      </c>
      <c r="H71" s="568"/>
      <c r="I71" s="568"/>
      <c r="J71" s="1141" t="s">
        <v>1966</v>
      </c>
      <c r="K71" s="1140" t="s">
        <v>1967</v>
      </c>
      <c r="L71" s="573"/>
      <c r="M71" s="570" t="str">
        <f>IF(OR(B71="",D71="",E71="",F71="",G71=""),"×","○")</f>
        <v>○</v>
      </c>
      <c r="N71" s="553" t="str">
        <f t="shared" si="1"/>
        <v>○</v>
      </c>
      <c r="P71" s="170"/>
      <c r="Q71" s="977"/>
    </row>
    <row r="72" spans="1:17">
      <c r="A72" s="567" t="s">
        <v>1324</v>
      </c>
      <c r="B72" s="1142" t="s">
        <v>1343</v>
      </c>
      <c r="C72" s="90" t="s">
        <v>1942</v>
      </c>
      <c r="D72" s="1142" t="s">
        <v>1942</v>
      </c>
      <c r="E72" s="1142" t="s">
        <v>1942</v>
      </c>
      <c r="F72" s="1142" t="s">
        <v>1343</v>
      </c>
      <c r="G72" s="1142" t="s">
        <v>1944</v>
      </c>
      <c r="H72" s="571"/>
      <c r="I72" s="571"/>
      <c r="J72" s="1141" t="s">
        <v>1968</v>
      </c>
      <c r="K72" s="1140"/>
      <c r="L72" s="574"/>
      <c r="M72" s="553" t="str">
        <f t="shared" si="0"/>
        <v>○</v>
      </c>
      <c r="N72" s="553" t="str">
        <f t="shared" si="1"/>
        <v>○</v>
      </c>
      <c r="P72" s="170"/>
      <c r="Q72" s="977"/>
    </row>
    <row r="73" spans="1:17">
      <c r="A73" s="563"/>
      <c r="B73" s="1242" t="s">
        <v>1325</v>
      </c>
      <c r="C73" s="1243"/>
      <c r="D73" s="1243"/>
      <c r="E73" s="1243"/>
      <c r="F73" s="1244"/>
      <c r="G73" s="1240" t="s">
        <v>1326</v>
      </c>
      <c r="H73" s="1258" t="s">
        <v>1249</v>
      </c>
      <c r="I73" s="1259"/>
      <c r="J73" s="1258" t="s">
        <v>1250</v>
      </c>
      <c r="K73" s="1096" t="s">
        <v>1251</v>
      </c>
      <c r="P73" s="170"/>
      <c r="Q73" s="977"/>
    </row>
    <row r="74" spans="1:17" ht="13.5" customHeight="1">
      <c r="A74" s="1238" t="s">
        <v>1327</v>
      </c>
      <c r="B74" s="1240" t="s">
        <v>1253</v>
      </c>
      <c r="C74" s="1242" t="s">
        <v>1254</v>
      </c>
      <c r="D74" s="1243"/>
      <c r="E74" s="1244"/>
      <c r="F74" s="1240" t="s">
        <v>1255</v>
      </c>
      <c r="G74" s="1260"/>
      <c r="H74" s="1238" t="s">
        <v>1256</v>
      </c>
      <c r="I74" s="1238" t="s">
        <v>1257</v>
      </c>
      <c r="J74" s="1241"/>
      <c r="K74" s="564"/>
      <c r="P74" s="170"/>
      <c r="Q74" s="977"/>
    </row>
    <row r="75" spans="1:17" ht="57.75" customHeight="1">
      <c r="A75" s="1239"/>
      <c r="B75" s="1241"/>
      <c r="C75" s="565" t="s">
        <v>1258</v>
      </c>
      <c r="D75" s="565" t="s">
        <v>1259</v>
      </c>
      <c r="E75" s="565" t="s">
        <v>1260</v>
      </c>
      <c r="F75" s="1241"/>
      <c r="G75" s="1241"/>
      <c r="H75" s="1239"/>
      <c r="I75" s="1239"/>
      <c r="J75" s="1239"/>
      <c r="K75" s="566" t="s">
        <v>1261</v>
      </c>
      <c r="P75" s="170"/>
      <c r="Q75" s="977"/>
    </row>
    <row r="76" spans="1:17">
      <c r="A76" s="575" t="s">
        <v>1328</v>
      </c>
      <c r="B76" s="1142" t="s">
        <v>1943</v>
      </c>
      <c r="C76" s="1142" t="s">
        <v>1943</v>
      </c>
      <c r="D76" s="1142" t="s">
        <v>1943</v>
      </c>
      <c r="E76" s="1142" t="s">
        <v>1943</v>
      </c>
      <c r="F76" s="1142" t="s">
        <v>1943</v>
      </c>
      <c r="G76" s="1142" t="s">
        <v>1944</v>
      </c>
      <c r="H76" s="569"/>
      <c r="I76" s="569"/>
      <c r="J76" s="1141" t="s">
        <v>1969</v>
      </c>
      <c r="K76" s="979"/>
      <c r="L76" s="573"/>
      <c r="M76" s="553" t="str">
        <f t="shared" si="0"/>
        <v>○</v>
      </c>
      <c r="N76" s="553" t="str">
        <f t="shared" si="1"/>
        <v>○</v>
      </c>
      <c r="P76" s="170"/>
      <c r="Q76" s="977"/>
    </row>
    <row r="77" spans="1:17">
      <c r="A77" s="575" t="s">
        <v>1329</v>
      </c>
      <c r="B77" s="1142" t="s">
        <v>1943</v>
      </c>
      <c r="C77" s="1142" t="s">
        <v>1943</v>
      </c>
      <c r="D77" s="1142" t="s">
        <v>1943</v>
      </c>
      <c r="E77" s="1142" t="s">
        <v>1943</v>
      </c>
      <c r="F77" s="1142" t="s">
        <v>1943</v>
      </c>
      <c r="G77" s="1142" t="s">
        <v>1944</v>
      </c>
      <c r="H77" s="569"/>
      <c r="I77" s="569"/>
      <c r="J77" s="1141" t="s">
        <v>1970</v>
      </c>
      <c r="K77" s="979"/>
      <c r="L77" s="573"/>
      <c r="M77" s="553" t="str">
        <f t="shared" si="0"/>
        <v>○</v>
      </c>
      <c r="N77" s="553" t="str">
        <f t="shared" si="1"/>
        <v>○</v>
      </c>
      <c r="P77" s="170"/>
      <c r="Q77" s="977"/>
    </row>
    <row r="78" spans="1:17">
      <c r="A78" s="575" t="s">
        <v>1330</v>
      </c>
      <c r="B78" s="1142" t="s">
        <v>1943</v>
      </c>
      <c r="C78" s="1142" t="s">
        <v>1943</v>
      </c>
      <c r="D78" s="1142" t="s">
        <v>1943</v>
      </c>
      <c r="E78" s="1142" t="s">
        <v>1943</v>
      </c>
      <c r="F78" s="1142" t="s">
        <v>1943</v>
      </c>
      <c r="G78" s="1142" t="s">
        <v>1944</v>
      </c>
      <c r="H78" s="569"/>
      <c r="I78" s="569"/>
      <c r="J78" s="1141" t="s">
        <v>1970</v>
      </c>
      <c r="K78" s="979"/>
      <c r="L78" s="573"/>
      <c r="M78" s="553" t="str">
        <f t="shared" si="0"/>
        <v>○</v>
      </c>
      <c r="N78" s="553" t="str">
        <f t="shared" si="1"/>
        <v>○</v>
      </c>
      <c r="P78" s="170"/>
      <c r="Q78" s="977"/>
    </row>
    <row r="79" spans="1:17">
      <c r="A79" s="575" t="s">
        <v>1331</v>
      </c>
      <c r="B79" s="90" t="s">
        <v>1943</v>
      </c>
      <c r="C79" s="569"/>
      <c r="D79" s="90" t="s">
        <v>1943</v>
      </c>
      <c r="E79" s="90" t="s">
        <v>1943</v>
      </c>
      <c r="F79" s="90" t="s">
        <v>1943</v>
      </c>
      <c r="G79" s="90" t="s">
        <v>1946</v>
      </c>
      <c r="H79" s="569"/>
      <c r="I79" s="569"/>
      <c r="J79" s="1141" t="s">
        <v>1970</v>
      </c>
      <c r="K79" s="979"/>
      <c r="M79" s="570" t="str">
        <f>IF(OR(B79="",D79="",E79="",F79="",G79=""),"×","○")</f>
        <v>○</v>
      </c>
      <c r="N79" s="553" t="str">
        <f t="shared" si="1"/>
        <v>○</v>
      </c>
      <c r="P79" s="170"/>
      <c r="Q79" s="977"/>
    </row>
    <row r="80" spans="1:17">
      <c r="A80" s="575" t="s">
        <v>1332</v>
      </c>
      <c r="B80" s="1142" t="s">
        <v>1943</v>
      </c>
      <c r="C80" s="1142" t="s">
        <v>1943</v>
      </c>
      <c r="D80" s="1142" t="s">
        <v>1943</v>
      </c>
      <c r="E80" s="1142" t="s">
        <v>1943</v>
      </c>
      <c r="F80" s="1142" t="s">
        <v>1943</v>
      </c>
      <c r="G80" s="1142" t="s">
        <v>1944</v>
      </c>
      <c r="H80" s="569"/>
      <c r="I80" s="569"/>
      <c r="J80" s="1141" t="s">
        <v>1970</v>
      </c>
      <c r="K80" s="979"/>
      <c r="M80" s="553" t="str">
        <f t="shared" si="0"/>
        <v>○</v>
      </c>
      <c r="N80" s="553" t="str">
        <f t="shared" si="1"/>
        <v>○</v>
      </c>
      <c r="P80" s="171"/>
      <c r="Q80" s="977"/>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75"/>
  <dataValidations count="3">
    <dataValidation allowBlank="1" showInputMessage="1" showErrorMessage="1" prompt="表紙シートの病院名を反映" sqref="G4" xr:uid="{00000000-0002-0000-0700-000000000000}"/>
    <dataValidation type="list" allowBlank="1" showInputMessage="1" showErrorMessage="1" sqref="B76:F80 B15:F72" xr:uid="{A76570D7-7178-4765-915C-87EBEB70816E}">
      <formula1>"◎,○,△"</formula1>
    </dataValidation>
    <dataValidation type="list" allowBlank="1" showInputMessage="1" showErrorMessage="1" sqref="G15:G72 G76:G80" xr:uid="{99615B36-6C0E-47BF-AC02-A2E77D92BDA4}">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view="pageBreakPreview" zoomScaleNormal="100" zoomScaleSheetLayoutView="100" workbookViewId="0">
      <selection activeCell="C12" sqref="C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556" hidden="1" customWidth="1"/>
    <col min="17" max="17" width="87.625" style="340" customWidth="1"/>
  </cols>
  <sheetData>
    <row r="1" spans="1:17" ht="20.100000000000001" customHeight="1" thickBot="1">
      <c r="A1" s="1247" t="s">
        <v>1333</v>
      </c>
      <c r="B1" s="1247"/>
      <c r="C1" s="1247"/>
      <c r="D1" s="1247"/>
      <c r="E1" s="1247"/>
      <c r="F1" s="1247"/>
      <c r="G1" s="1247"/>
      <c r="H1" s="1247"/>
      <c r="I1" s="1247"/>
      <c r="J1" s="1247"/>
      <c r="K1" s="1247"/>
      <c r="P1" s="97"/>
      <c r="Q1" s="99"/>
    </row>
    <row r="2" spans="1:17" ht="24.95" customHeight="1" thickTop="1" thickBot="1">
      <c r="A2" s="552"/>
      <c r="B2" s="1228" t="s">
        <v>1235</v>
      </c>
      <c r="C2" s="1228"/>
      <c r="D2" s="1228"/>
      <c r="E2" s="1228"/>
      <c r="F2" s="1228"/>
      <c r="G2" s="1228"/>
      <c r="H2" s="1228"/>
      <c r="I2" s="1228"/>
      <c r="J2" s="1248"/>
      <c r="K2" s="533" t="str">
        <f>IF(COUNTIF(N12:O19,"×")=0,"入力済","未入力あり")</f>
        <v>入力済</v>
      </c>
      <c r="L2" s="1276"/>
      <c r="M2" s="576"/>
      <c r="N2" s="576"/>
      <c r="O2" s="576"/>
      <c r="P2" s="97"/>
      <c r="Q2" s="99"/>
    </row>
    <row r="3" spans="1:17" ht="5.0999999999999996" customHeight="1" thickTop="1">
      <c r="A3" s="554"/>
      <c r="B3" s="554"/>
      <c r="C3" s="554"/>
      <c r="D3" s="554"/>
      <c r="E3" s="554"/>
      <c r="F3" s="554"/>
      <c r="G3" s="554"/>
      <c r="H3" s="554"/>
      <c r="I3" s="554"/>
      <c r="J3" s="554"/>
      <c r="K3" s="554"/>
      <c r="L3" s="1276"/>
      <c r="M3" s="576"/>
      <c r="N3" s="576"/>
      <c r="O3" s="576"/>
    </row>
    <row r="4" spans="1:17" ht="20.100000000000001" customHeight="1">
      <c r="A4" s="554"/>
      <c r="B4" s="554"/>
      <c r="C4" s="554"/>
      <c r="D4" s="554"/>
      <c r="E4" s="554"/>
      <c r="F4" s="557" t="s">
        <v>1236</v>
      </c>
      <c r="G4" s="1249" t="str">
        <f>+表紙!E2</f>
        <v>市立豊中病院</v>
      </c>
      <c r="H4" s="1250"/>
      <c r="I4" s="1250"/>
      <c r="J4" s="1250"/>
      <c r="K4" s="1251"/>
      <c r="L4" s="1276"/>
      <c r="M4" s="576"/>
      <c r="N4" s="576"/>
      <c r="O4" s="576"/>
      <c r="P4" s="97"/>
    </row>
    <row r="5" spans="1:17" ht="19.5" customHeight="1">
      <c r="A5" s="554"/>
      <c r="B5" s="557"/>
      <c r="C5" s="557"/>
      <c r="D5" s="557"/>
      <c r="E5" s="557"/>
      <c r="F5" s="557" t="s">
        <v>1237</v>
      </c>
      <c r="G5" s="1047" t="str">
        <f>+'事務局使用（発出時は非表示にすること）'!B3</f>
        <v>令和６年９月１日時点</v>
      </c>
      <c r="J5" s="1047"/>
      <c r="K5" s="1047"/>
      <c r="L5" s="1276"/>
      <c r="M5" s="576"/>
      <c r="N5" s="576"/>
      <c r="O5" s="576"/>
      <c r="P5" s="558"/>
      <c r="Q5" s="188" t="s">
        <v>268</v>
      </c>
    </row>
    <row r="6" spans="1:17" s="580" customFormat="1" ht="28.9" customHeight="1">
      <c r="A6" s="577"/>
      <c r="B6" s="578"/>
      <c r="C6" s="578"/>
      <c r="D6" s="578"/>
      <c r="E6" s="578"/>
      <c r="F6" s="578"/>
      <c r="G6" s="578"/>
      <c r="H6" s="578"/>
      <c r="I6" s="578"/>
      <c r="J6" s="578"/>
      <c r="K6" s="578"/>
      <c r="L6" s="1276"/>
      <c r="M6" s="576"/>
      <c r="N6" s="576"/>
      <c r="O6" s="576"/>
      <c r="P6" s="579"/>
      <c r="Q6" s="163"/>
    </row>
    <row r="7" spans="1:17" s="9" customFormat="1" ht="20.100000000000001" customHeight="1">
      <c r="A7" s="581" t="s">
        <v>1334</v>
      </c>
      <c r="B7" s="581"/>
      <c r="C7" s="581"/>
      <c r="D7" s="581"/>
      <c r="E7" s="581"/>
      <c r="F7" s="581"/>
      <c r="G7" s="581"/>
      <c r="H7" s="581"/>
      <c r="I7" s="581"/>
      <c r="J7" s="581"/>
      <c r="K7" s="581"/>
      <c r="P7" s="582"/>
      <c r="Q7" s="87"/>
    </row>
    <row r="8" spans="1:17" s="9" customFormat="1" ht="20.100000000000001" customHeight="1">
      <c r="A8" s="583"/>
      <c r="B8" s="583"/>
      <c r="C8" s="584"/>
      <c r="D8" s="584"/>
      <c r="E8" s="584"/>
      <c r="F8" s="583"/>
      <c r="G8" s="583"/>
      <c r="H8" s="583"/>
      <c r="I8" s="583"/>
      <c r="J8" s="583"/>
      <c r="K8" s="583"/>
      <c r="P8" s="582"/>
      <c r="Q8" s="87"/>
    </row>
    <row r="9" spans="1:17" s="9" customFormat="1" ht="33" customHeight="1">
      <c r="A9" s="1277" t="s">
        <v>1335</v>
      </c>
      <c r="B9" s="1264" t="s">
        <v>1336</v>
      </c>
      <c r="C9" s="1265"/>
      <c r="D9" s="1265"/>
      <c r="E9" s="1266" t="s">
        <v>1337</v>
      </c>
      <c r="F9" s="1267"/>
      <c r="G9" s="1267"/>
      <c r="H9" s="1267"/>
      <c r="I9" s="1267"/>
      <c r="J9" s="1267"/>
      <c r="K9" s="1267"/>
      <c r="L9" s="1268"/>
      <c r="M9" s="585"/>
      <c r="N9" s="586"/>
      <c r="O9" s="586"/>
      <c r="P9" s="61"/>
      <c r="Q9" s="163"/>
    </row>
    <row r="10" spans="1:17" s="9" customFormat="1" ht="22.5" customHeight="1">
      <c r="A10" s="1269"/>
      <c r="B10" s="1098" t="s">
        <v>1338</v>
      </c>
      <c r="C10" s="1098" t="s">
        <v>1339</v>
      </c>
      <c r="D10" s="1098" t="s">
        <v>1340</v>
      </c>
      <c r="E10" s="1269"/>
      <c r="F10" s="1270"/>
      <c r="G10" s="1270"/>
      <c r="H10" s="1270"/>
      <c r="I10" s="1270"/>
      <c r="J10" s="1270"/>
      <c r="K10" s="1270"/>
      <c r="L10" s="1271"/>
      <c r="M10" s="585"/>
      <c r="N10" s="586"/>
      <c r="O10" s="586"/>
      <c r="P10" s="61"/>
      <c r="Q10" s="87"/>
    </row>
    <row r="11" spans="1:17" s="9" customFormat="1" ht="42" customHeight="1" thickBot="1">
      <c r="A11" s="587" t="s">
        <v>1341</v>
      </c>
      <c r="B11" s="588" t="s">
        <v>1342</v>
      </c>
      <c r="C11" s="588" t="s">
        <v>1343</v>
      </c>
      <c r="D11" s="588" t="s">
        <v>1342</v>
      </c>
      <c r="E11" s="1275" t="s">
        <v>1344</v>
      </c>
      <c r="F11" s="1275"/>
      <c r="G11" s="1275"/>
      <c r="H11" s="1275"/>
      <c r="I11" s="1275"/>
      <c r="J11" s="1275"/>
      <c r="K11" s="1275"/>
      <c r="L11" s="1275"/>
      <c r="M11" s="589"/>
      <c r="N11" s="590"/>
      <c r="O11" s="590"/>
      <c r="P11" s="61"/>
      <c r="Q11" s="87"/>
    </row>
    <row r="12" spans="1:17" s="9" customFormat="1" ht="42" customHeight="1" thickTop="1" thickBot="1">
      <c r="A12" s="591" t="s">
        <v>43</v>
      </c>
      <c r="B12" s="1145" t="s">
        <v>1343</v>
      </c>
      <c r="C12" s="1145" t="s">
        <v>1343</v>
      </c>
      <c r="D12" s="1145" t="s">
        <v>1343</v>
      </c>
      <c r="E12" s="1261"/>
      <c r="F12" s="1262"/>
      <c r="G12" s="1262"/>
      <c r="H12" s="1262"/>
      <c r="I12" s="1262"/>
      <c r="J12" s="1262"/>
      <c r="K12" s="1262"/>
      <c r="L12" s="1263"/>
      <c r="M12" s="589"/>
      <c r="N12" s="592" t="str">
        <f>IF(COUNTBLANK(B12:D12)=0,"○","×")</f>
        <v>○</v>
      </c>
      <c r="O12" s="592" t="str">
        <f>IF(AND(COUNTIF(B12:D12,"×")&gt;=1,E12=""),"×","○")</f>
        <v>○</v>
      </c>
      <c r="P12" s="61"/>
      <c r="Q12" s="87"/>
    </row>
    <row r="13" spans="1:17" s="9" customFormat="1" ht="42" customHeight="1" thickBot="1">
      <c r="A13" s="1010" t="s">
        <v>1345</v>
      </c>
      <c r="B13" s="1144" t="s">
        <v>1342</v>
      </c>
      <c r="C13" s="1144" t="s">
        <v>1343</v>
      </c>
      <c r="D13" s="1144" t="s">
        <v>1343</v>
      </c>
      <c r="E13" s="1272" t="s">
        <v>1971</v>
      </c>
      <c r="F13" s="1273"/>
      <c r="G13" s="1273"/>
      <c r="H13" s="1273"/>
      <c r="I13" s="1273"/>
      <c r="J13" s="1273"/>
      <c r="K13" s="1273"/>
      <c r="L13" s="1274"/>
      <c r="M13" s="589"/>
      <c r="N13" s="592" t="str">
        <f>IF(COUNTBLANK(B13:D13)=0,"○","×")</f>
        <v>○</v>
      </c>
      <c r="O13" s="592" t="str">
        <f>IF(AND(COUNTIF(B13:D13,"×")&gt;=1,E13=""),"×","○")</f>
        <v>○</v>
      </c>
      <c r="P13" s="61"/>
      <c r="Q13" s="87"/>
    </row>
    <row r="14" spans="1:17" s="9" customFormat="1" ht="42" customHeight="1" thickBot="1">
      <c r="A14" s="1099" t="s">
        <v>45</v>
      </c>
      <c r="B14" s="1144" t="s">
        <v>1343</v>
      </c>
      <c r="C14" s="1144" t="s">
        <v>1343</v>
      </c>
      <c r="D14" s="1144" t="s">
        <v>1343</v>
      </c>
      <c r="E14" s="1272"/>
      <c r="F14" s="1273"/>
      <c r="G14" s="1273"/>
      <c r="H14" s="1273"/>
      <c r="I14" s="1273"/>
      <c r="J14" s="1273"/>
      <c r="K14" s="1273"/>
      <c r="L14" s="1274"/>
      <c r="M14" s="589"/>
      <c r="N14" s="592" t="str">
        <f t="shared" ref="N14:N19" si="0">IF(COUNTBLANK(B14:D14)=0,"○","×")</f>
        <v>○</v>
      </c>
      <c r="O14" s="592" t="str">
        <f t="shared" ref="O14:O19" si="1">IF(AND(COUNTIF(B14:D14,"×")&gt;=1,E14=""),"×","○")</f>
        <v>○</v>
      </c>
      <c r="P14" s="61"/>
      <c r="Q14" s="87"/>
    </row>
    <row r="15" spans="1:17" s="9" customFormat="1" ht="42" customHeight="1" thickBot="1">
      <c r="A15" s="593" t="s">
        <v>561</v>
      </c>
      <c r="B15" s="1144" t="s">
        <v>1343</v>
      </c>
      <c r="C15" s="1144" t="s">
        <v>1343</v>
      </c>
      <c r="D15" s="1144" t="s">
        <v>1343</v>
      </c>
      <c r="E15" s="1272"/>
      <c r="F15" s="1273"/>
      <c r="G15" s="1273"/>
      <c r="H15" s="1273"/>
      <c r="I15" s="1273"/>
      <c r="J15" s="1273"/>
      <c r="K15" s="1273"/>
      <c r="L15" s="1274"/>
      <c r="M15" s="589"/>
      <c r="N15" s="592" t="str">
        <f t="shared" si="0"/>
        <v>○</v>
      </c>
      <c r="O15" s="592" t="str">
        <f t="shared" si="1"/>
        <v>○</v>
      </c>
      <c r="P15" s="61"/>
      <c r="Q15" s="87"/>
    </row>
    <row r="16" spans="1:17" s="9" customFormat="1" ht="42" customHeight="1" thickBot="1">
      <c r="A16" s="593" t="s">
        <v>46</v>
      </c>
      <c r="B16" s="1144" t="s">
        <v>1343</v>
      </c>
      <c r="C16" s="1144" t="s">
        <v>1343</v>
      </c>
      <c r="D16" s="1144" t="s">
        <v>1343</v>
      </c>
      <c r="E16" s="1272"/>
      <c r="F16" s="1273"/>
      <c r="G16" s="1273"/>
      <c r="H16" s="1273"/>
      <c r="I16" s="1273"/>
      <c r="J16" s="1273"/>
      <c r="K16" s="1273"/>
      <c r="L16" s="1274"/>
      <c r="M16" s="589"/>
      <c r="N16" s="592" t="str">
        <f t="shared" si="0"/>
        <v>○</v>
      </c>
      <c r="O16" s="592" t="str">
        <f t="shared" si="1"/>
        <v>○</v>
      </c>
      <c r="P16" s="61"/>
      <c r="Q16" s="87"/>
    </row>
    <row r="17" spans="1:17" s="9" customFormat="1" ht="42" customHeight="1" thickBot="1">
      <c r="A17" s="593" t="s">
        <v>558</v>
      </c>
      <c r="B17" s="1144" t="s">
        <v>1343</v>
      </c>
      <c r="C17" s="1144" t="s">
        <v>1343</v>
      </c>
      <c r="D17" s="1144" t="s">
        <v>1343</v>
      </c>
      <c r="E17" s="1272"/>
      <c r="F17" s="1273"/>
      <c r="G17" s="1273"/>
      <c r="H17" s="1273"/>
      <c r="I17" s="1273"/>
      <c r="J17" s="1273"/>
      <c r="K17" s="1273"/>
      <c r="L17" s="1274"/>
      <c r="M17" s="589"/>
      <c r="N17" s="592" t="str">
        <f t="shared" si="0"/>
        <v>○</v>
      </c>
      <c r="O17" s="592" t="str">
        <f t="shared" si="1"/>
        <v>○</v>
      </c>
      <c r="P17" s="61"/>
      <c r="Q17" s="87"/>
    </row>
    <row r="18" spans="1:17" s="9" customFormat="1" ht="42" customHeight="1" thickBot="1">
      <c r="A18" s="593" t="s">
        <v>1346</v>
      </c>
      <c r="B18" s="1144" t="s">
        <v>1343</v>
      </c>
      <c r="C18" s="1144" t="s">
        <v>1343</v>
      </c>
      <c r="D18" s="1144" t="s">
        <v>1343</v>
      </c>
      <c r="E18" s="1272"/>
      <c r="F18" s="1273"/>
      <c r="G18" s="1273"/>
      <c r="H18" s="1273"/>
      <c r="I18" s="1273"/>
      <c r="J18" s="1273"/>
      <c r="K18" s="1273"/>
      <c r="L18" s="1274"/>
      <c r="M18" s="589"/>
      <c r="N18" s="592" t="str">
        <f t="shared" si="0"/>
        <v>○</v>
      </c>
      <c r="O18" s="592" t="str">
        <f t="shared" si="1"/>
        <v>○</v>
      </c>
      <c r="P18" s="61"/>
      <c r="Q18" s="87"/>
    </row>
    <row r="19" spans="1:17" s="9" customFormat="1" ht="42" customHeight="1" thickBot="1">
      <c r="A19" s="593" t="s">
        <v>49</v>
      </c>
      <c r="B19" s="1144" t="s">
        <v>1343</v>
      </c>
      <c r="C19" s="1144" t="s">
        <v>1343</v>
      </c>
      <c r="D19" s="1144" t="s">
        <v>1343</v>
      </c>
      <c r="E19" s="1272"/>
      <c r="F19" s="1273"/>
      <c r="G19" s="1273"/>
      <c r="H19" s="1273"/>
      <c r="I19" s="1273"/>
      <c r="J19" s="1273"/>
      <c r="K19" s="1273"/>
      <c r="L19" s="1274"/>
      <c r="M19" s="589"/>
      <c r="N19" s="592" t="str">
        <f t="shared" si="0"/>
        <v>○</v>
      </c>
      <c r="O19" s="592" t="str">
        <f t="shared" si="1"/>
        <v>○</v>
      </c>
      <c r="P19" s="61"/>
      <c r="Q19" s="160"/>
    </row>
    <row r="20" spans="1:17">
      <c r="F20" s="9"/>
      <c r="G20" s="158"/>
      <c r="H20" s="9"/>
      <c r="I20" s="158"/>
      <c r="J20" s="9"/>
      <c r="K20" s="158"/>
    </row>
    <row r="21" spans="1:17">
      <c r="F21" s="9"/>
      <c r="G21" s="158"/>
      <c r="H21" s="9"/>
      <c r="I21" s="158"/>
      <c r="J21" s="9"/>
      <c r="K21" s="158"/>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10"/>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6" ma:contentTypeDescription="新しいドキュメントを作成します。" ma:contentTypeScope="" ma:versionID="e097e0bad358eda77a663339b90f32db">
  <xsd:schema xmlns:xsd="http://www.w3.org/2001/XMLSchema" xmlns:xs="http://www.w3.org/2001/XMLSchema" xmlns:p="http://schemas.microsoft.com/office/2006/metadata/properties" xmlns:ns2="da403b65-2863-4fac-9bf3-1b8b0c5a37f2" xmlns:ns3="8f04e03f-9209-46ee-9f7e-bd4ad17f0b47" targetNamespace="http://schemas.microsoft.com/office/2006/metadata/properties" ma:root="true" ma:fieldsID="bc7fd23990390f79fb4afeaece304937" ns2:_="" ns3:_="">
    <xsd:import namespace="da403b65-2863-4fac-9bf3-1b8b0c5a37f2"/>
    <xsd:import namespace="8f04e03f-9209-46ee-9f7e-bd4ad17f0b4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04e03f-9209-46ee-9f7e-bd4ad17f0b47"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B089693E-57A4-43FF-8C45-B098E05B81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8f04e03f-9209-46ee-9f7e-bd4ad17f0b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43895A-19CB-4936-8A8D-B65E1659D006}">
  <ds:schemaRefs>
    <ds:schemaRef ds:uri="http://purl.org/dc/elements/1.1/"/>
    <ds:schemaRef ds:uri="http://schemas.microsoft.com/office/2006/metadata/properties"/>
    <ds:schemaRef ds:uri="http://schemas.microsoft.com/office/2006/documentManagement/types"/>
    <ds:schemaRef ds:uri="da403b65-2863-4fac-9bf3-1b8b0c5a37f2"/>
    <ds:schemaRef ds:uri="http://purl.org/dc/terms/"/>
    <ds:schemaRef ds:uri="http://schemas.openxmlformats.org/package/2006/metadata/core-properties"/>
    <ds:schemaRef ds:uri="http://purl.org/dc/dcmitype/"/>
    <ds:schemaRef ds:uri="http://schemas.microsoft.com/office/infopath/2007/PartnerControls"/>
    <ds:schemaRef ds:uri="8f04e03f-9209-46ee-9f7e-bd4ad17f0b47"/>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36</vt:i4>
      </vt:variant>
    </vt:vector>
  </HeadingPairs>
  <TitlesOfParts>
    <vt:vector size="7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yoshihiro harada</cp:lastModifiedBy>
  <cp:revision/>
  <dcterms:created xsi:type="dcterms:W3CDTF">2016-08-30T05:01:01Z</dcterms:created>
  <dcterms:modified xsi:type="dcterms:W3CDTF">2025-03-11T06:35:12Z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