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13DCE765-A475-4890-83B9-56F64B0F165C}"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3自施設で対応しないもの" sheetId="201" r:id="rId8"/>
    <sheet name="別紙2専門とするがんの診療状況" sheetId="198"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8">別紙2専門とするがんの診療状況!$A$1:$L$80</definedName>
    <definedName name="_xlnm.Print_Area" localSheetId="7">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B6" i="204"/>
  <c r="B7" i="204" s="1"/>
  <c r="H243" i="195" l="1"/>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J9" i="217" s="1"/>
  <c r="BI62" i="219"/>
  <c r="BH9" i="217" s="1"/>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W2" i="177" s="1"/>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<sst xmlns="http://schemas.openxmlformats.org/spreadsheetml/2006/main" count="3853" uniqueCount="1924">
  <si>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</si>
  <si>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</si>
  <si>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</si>
  <si>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</si>
  <si>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</si>
  <si>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</si>
  <si>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</si>
  <si>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</si>
  <si>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</si>
  <si>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</si>
  <si>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</si>
  <si>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</si>
  <si>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</si>
  <si>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</si>
  <si>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</si>
  <si>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</si>
  <si>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</si>
  <si>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</si>
  <si>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</si>
  <si>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</si>
  <si>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</si>
  <si>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</si>
  <si>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</si>
  <si>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</si>
  <si>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</si>
  <si>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</si>
  <si>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</si>
  <si>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</si>
  <si>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</si>
  <si>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</si>
  <si>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</si>
  <si>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</si>
  <si>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</si>
  <si>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</si>
  <si>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</si>
  <si>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</si>
  <si>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</si>
  <si>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</si>
  <si>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</si>
  <si>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</si>
  <si>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</si>
  <si>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</si>
  <si>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</si>
  <si>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</si>
  <si>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</si>
  <si>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</si>
  <si>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</si>
  <si>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</si>
  <si>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</si>
  <si>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</si>
  <si>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</si>
  <si>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</si>
  <si>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</si>
  <si>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</si>
  <si>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</si>
  <si>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</si>
  <si>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</si>
  <si>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</si>
  <si>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</si>
  <si>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</si>
  <si>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</si>
  <si>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</si>
  <si>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</si>
  <si>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</si>
  <si>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</si>
  <si>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</si>
  <si>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</si>
  <si>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</si>
  <si>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</si>
  <si>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</si>
  <si>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</si>
  <si>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</si>
  <si>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</si>
  <si>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</si>
  <si>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</si>
  <si>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</si>
  <si>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</si>
  <si>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</si>
  <si>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</si>
  <si>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</si>
  <si>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</si>
  <si>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</si>
  <si>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</si>
  <si>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</si>
  <si>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</si>
  <si>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</si>
  <si>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</si>
  <si>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</si>
  <si>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</si>
  <si>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</si>
  <si>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</si>
  <si>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</si>
  <si>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</si>
  <si>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</si>
  <si>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</si>
  <si>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</si>
  <si>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</si>
  <si>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</si>
  <si>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</si>
  <si>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</si>
  <si>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</si>
  <si>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</si>
  <si>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</si>
  <si>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</si>
  <si>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</si>
  <si>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</si>
  <si>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</si>
  <si>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</si>
  <si>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</si>
  <si>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</si>
  <si>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</si>
  <si>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</si>
  <si>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</si>
  <si>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</si>
  <si>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</si>
  <si>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</si>
  <si>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</si>
  <si>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</si>
  <si>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</si>
  <si>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</si>
  <si>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</si>
  <si>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</si>
  <si>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</si>
  <si>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</si>
  <si>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</si>
  <si>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</si>
  <si>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</si>
  <si>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</si>
  <si>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</si>
  <si>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</si>
  <si>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</si>
  <si>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</si>
  <si>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</si>
  <si>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</si>
  <si>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</si>
  <si>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</si>
  <si>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</si>
  <si>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</si>
  <si>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</si>
  <si>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</si>
  <si>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</si>
  <si>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</si>
  <si>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</si>
  <si>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</si>
  <si>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</si>
  <si>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</si>
  <si>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</si>
  <si>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</si>
  <si>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</si>
  <si>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</si>
  <si>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</si>
  <si>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</si>
  <si>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</si>
  <si>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</si>
  <si>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</si>
  <si>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</si>
  <si>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</si>
  <si>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</si>
  <si>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</si>
  <si>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</si>
  <si>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</si>
  <si>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</si>
  <si>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</si>
  <si>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</si>
  <si>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</si>
  <si>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</si>
  <si>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</si>
  <si>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</si>
  <si>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</si>
  <si>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</si>
  <si>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</si>
  <si>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</si>
  <si>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</si>
  <si>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</si>
  <si>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</si>
  <si>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</si>
  <si>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</si>
  <si>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</si>
  <si>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</si>
  <si>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</si>
  <si>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</si>
  <si>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</si>
  <si>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</si>
  <si>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</si>
  <si>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</si>
  <si>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</si>
  <si>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</si>
  <si>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</si>
  <si>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</si>
  <si>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</si>
  <si>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</si>
  <si>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</si>
  <si>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</si>
  <si>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</si>
  <si>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</si>
  <si>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</si>
  <si>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</si>
  <si>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</si>
  <si>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</si>
  <si>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</si>
  <si>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</si>
  <si>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</si>
  <si>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</si>
  <si>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</si>
  <si>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</si>
  <si>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</si>
  <si>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</si>
  <si>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</si>
  <si>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</si>
  <si>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</si>
  <si>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</si>
  <si>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</si>
  <si>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</si>
  <si>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</si>
  <si>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</si>
  <si>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</si>
  <si>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</si>
  <si>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</si>
  <si>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</si>
  <si>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</si>
  <si>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</si>
  <si>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</si>
  <si>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</si>
  <si>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</si>
  <si>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</si>
  <si>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</si>
  <si>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</si>
  <si>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</si>
  <si>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</si>
  <si>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</si>
  <si>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</si>
  <si>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</si>
  <si>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</si>
  <si>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</si>
  <si>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</si>
  <si>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</si>
  <si>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</si>
  <si>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</si>
  <si>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</si>
  <si>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</si>
  <si>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</si>
  <si>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</si>
  <si>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</si>
  <si>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</si>
  <si>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</si>
  <si>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</si>
  <si>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</si>
  <si>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</si>
  <si>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</si>
  <si>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</si>
  <si>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</si>
  <si>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</si>
  <si>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</si>
  <si>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</si>
  <si>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</si>
  <si>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</si>
  <si>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</si>
  <si>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</si>
  <si>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</si>
  <si>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</si>
  <si>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</si>
  <si>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</si>
  <si>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</si>
  <si>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</si>
  <si>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</si>
  <si>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</si>
  <si>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</si>
  <si>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</si>
  <si>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</si>
  <si>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</si>
  <si>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</si>
  <si>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</si>
  <si>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</si>
  <si>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</si>
  <si>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</si>
  <si>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</si>
  <si>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</si>
  <si>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</si>
  <si>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</si>
  <si>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</si>
  <si>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</si>
  <si>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</si>
  <si>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</si>
  <si>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</si>
  <si>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</si>
  <si>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</si>
  <si>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</si>
  <si>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</si>
  <si>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</si>
  <si>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</si>
  <si>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</si>
  <si>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</si>
  <si>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</si>
  <si>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</si>
  <si>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</si>
  <si>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</si>
  <si>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</si>
  <si>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</si>
  <si>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</si>
  <si>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</si>
  <si>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</si>
  <si>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</si>
  <si>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</si>
  <si>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</si>
  <si>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</si>
  <si>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</si>
  <si>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</si>
  <si>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</si>
  <si>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</si>
  <si>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</si>
  <si>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</si>
  <si>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</si>
  <si>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</si>
  <si>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</si>
  <si>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</si>
  <si>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</si>
  <si>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</si>
  <si>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</si>
  <si>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</si>
  <si>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</si>
  <si>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</si>
  <si>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</si>
  <si>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</si>
  <si>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</si>
  <si>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</si>
  <si>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</si>
  <si>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</si>
  <si>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</si>
  <si>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</si>
  <si>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</si>
  <si>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</si>
  <si>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</si>
  <si>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</si>
  <si>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</si>
  <si>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</si>
  <si>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</si>
  <si>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</si>
  <si>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</si>
  <si>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</si>
  <si>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</si>
  <si>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</si>
  <si>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</si>
  <si>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</si>
  <si>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</si>
  <si>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</si>
  <si>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</si>
  <si>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</si>
  <si>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</si>
  <si>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</si>
  <si>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</si>
  <si>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</si>
  <si>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</si>
  <si>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</si>
  <si>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</si>
  <si>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</si>
  <si>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</si>
  <si>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</si>
  <si>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</si>
  <si>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</si>
  <si>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</si>
  <si>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</si>
  <si>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</si>
  <si>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</si>
  <si>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</si>
  <si>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</si>
  <si>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</si>
  <si>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</si>
  <si>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</si>
  <si>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</si>
  <si>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</si>
  <si>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</si>
  <si>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</si>
  <si>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</si>
  <si>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</si>
  <si>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</si>
  <si>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</si>
  <si>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</si>
  <si>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</si>
  <si>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</si>
  <si>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</si>
  <si>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</si>
  <si>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</si>
  <si>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</si>
  <si>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</si>
  <si>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</si>
  <si>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</si>
  <si>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</si>
  <si>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</si>
  <si>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</si>
  <si>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</si>
  <si>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</si>
  <si>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</si>
  <si>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</si>
  <si>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</si>
  <si>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</si>
  <si>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</si>
  <si>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</si>
  <si>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</si>
  <si>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</si>
  <si>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</si>
  <si>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</si>
  <si>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</si>
  <si>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</si>
  <si>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</si>
  <si>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</si>
  <si>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</si>
  <si>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</si>
  <si>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</si>
  <si>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</si>
  <si>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</si>
  <si>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</si>
  <si>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</si>
  <si>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</si>
  <si>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</si>
  <si>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</si>
  <si>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</si>
  <si>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</si>
  <si>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</si>
  <si>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</si>
  <si>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</si>
  <si>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</si>
  <si>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</si>
  <si>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</si>
  <si>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</si>
  <si>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</si>
  <si>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</si>
  <si>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</si>
  <si>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</si>
  <si>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</si>
  <si>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</si>
  <si>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</si>
  <si>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</si>
  <si>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</si>
  <si>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</si>
  <si>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</si>
  <si>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</si>
  <si>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</si>
  <si>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</si>
  <si>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</si>
  <si>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</si>
  <si>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</si>
  <si>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</si>
  <si>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</si>
  <si>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</si>
  <si>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</si>
  <si>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</si>
  <si>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</si>
  <si>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</si>
  <si>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</si>
  <si>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</si>
  <si>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</si>
  <si>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</si>
  <si>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</si>
  <si>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</si>
  <si>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</si>
  <si>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</si>
  <si>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</si>
  <si>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</si>
  <si>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</si>
  <si>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</si>
  <si>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</si>
  <si>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</si>
  <si>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</si>
  <si>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</si>
  <si>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</si>
  <si>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</si>
  <si>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</si>
  <si>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</si>
  <si>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</si>
  <si>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</si>
  <si>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</si>
  <si>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</si>
  <si>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</si>
  <si>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</si>
  <si>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</si>
  <si>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</si>
  <si>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</si>
  <si>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</si>
  <si>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</si>
  <si>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</si>
  <si>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</si>
  <si>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</si>
  <si>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</si>
  <si>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</si>
  <si>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</si>
  <si>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</si>
  <si>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</si>
  <si>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</si>
  <si>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</si>
  <si>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</si>
  <si>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</si>
  <si>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</si>
  <si>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</si>
  <si>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</si>
  <si>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</si>
  <si>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</si>
  <si>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</si>
  <si>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</si>
  <si>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</si>
  <si>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</si>
  <si>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</si>
  <si>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</si>
  <si>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</si>
  <si>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</si>
  <si>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</si>
  <si>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</si>
  <si>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</si>
  <si>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</si>
  <si>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</si>
  <si>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</si>
  <si>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</si>
  <si>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</si>
  <si>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</si>
  <si>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</si>
  <si>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</si>
  <si>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</si>
  <si>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</si>
  <si>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</si>
  <si>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</si>
  <si>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</si>
  <si>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</si>
  <si>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</si>
  <si>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</si>
  <si>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</si>
  <si>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</si>
  <si>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</si>
  <si>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</si>
  <si>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</si>
  <si>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</si>
  <si>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</si>
  <si>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</si>
  <si>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</si>
  <si>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</si>
  <si>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</si>
  <si>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</si>
  <si>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</si>
  <si>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</si>
  <si>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</si>
  <si>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</si>
  <si>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</si>
  <si>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</si>
  <si>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</si>
  <si>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</si>
  <si>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</si>
  <si>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</si>
  <si>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</si>
  <si>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</si>
  <si>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</si>
  <si>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</si>
  <si>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</si>
  <si>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</si>
  <si>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</si>
  <si>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</si>
  <si>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</si>
  <si>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</si>
  <si>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</si>
  <si>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</si>
  <si>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</si>
  <si>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</si>
  <si>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</si>
  <si>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</si>
  <si>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</si>
  <si>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</si>
  <si>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</si>
  <si>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</si>
  <si>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</si>
  <si>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</si>
  <si>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</si>
  <si>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</si>
  <si>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</si>
  <si>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</si>
  <si>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</si>
  <si>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</si>
  <si>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</si>
  <si>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</si>
  <si>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</si>
  <si>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</si>
  <si>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</si>
  <si>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</si>
  <si>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</si>
  <si>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</si>
  <si>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</si>
  <si>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</si>
  <si>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</si>
  <si>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</si>
  <si>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</si>
  <si>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</si>
  <si>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</si>
  <si>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</si>
  <si>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</si>
  <si>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</si>
  <si>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</si>
  <si>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</si>
  <si>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</si>
  <si>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</si>
  <si>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</si>
  <si>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</si>
  <si>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</si>
  <si>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</si>
  <si>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</si>
  <si>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</si>
  <si>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</si>
  <si>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</si>
  <si>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</si>
  <si>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</si>
  <si>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</si>
  <si>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</si>
  <si>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</si>
  <si>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</si>
  <si>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</si>
  <si>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</si>
  <si>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</si>
  <si>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</si>
  <si>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</si>
  <si>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</si>
  <si>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</si>
  <si>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</si>
  <si>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</si>
  <si>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</si>
  <si>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</si>
  <si>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</si>
  <si>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</si>
  <si>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</si>
  <si>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</si>
  <si>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</si>
  <si>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</si>
  <si>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</si>
  <si>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</si>
  <si>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</si>
  <si>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</si>
  <si>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</si>
  <si>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</si>
  <si>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</si>
  <si>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</si>
  <si>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</si>
  <si>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</si>
  <si>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</si>
  <si>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</si>
  <si>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</si>
  <si>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</si>
  <si>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</si>
  <si>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</si>
  <si>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</si>
  <si>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</si>
  <si>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</si>
  <si>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</si>
  <si>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</si>
  <si>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</si>
  <si>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</si>
  <si>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</si>
  <si>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</si>
  <si>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</si>
  <si>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</si>
  <si>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</si>
  <si>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</si>
  <si>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</si>
  <si>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</si>
  <si>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</si>
  <si>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</si>
  <si>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</si>
  <si>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</si>
  <si>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</si>
  <si>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</si>
  <si>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</si>
  <si>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</si>
  <si>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</si>
  <si>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</si>
  <si>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</si>
  <si>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</si>
  <si>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</si>
  <si>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</si>
  <si>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</si>
  <si>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</si>
  <si>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</si>
  <si>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</si>
  <si>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</si>
  <si>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</si>
  <si>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</si>
  <si>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</si>
  <si>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</si>
  <si>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</si>
  <si>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</si>
  <si>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</si>
  <si>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</si>
  <si>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</si>
  <si>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</si>
  <si>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</si>
  <si>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</si>
  <si>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</si>
  <si>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</si>
  <si>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</si>
  <si>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</si>
  <si>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</si>
  <si>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</si>
  <si>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</si>
  <si>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</si>
  <si>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</si>
  <si>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</si>
  <si>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</si>
  <si>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</si>
  <si>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</si>
  <si>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</si>
  <si>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</si>
  <si>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</si>
  <si>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</si>
  <si>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</si>
  <si>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</si>
  <si>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</si>
  <si>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</si>
  <si>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</si>
  <si>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</si>
  <si>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</si>
  <si>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</si>
  <si>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</si>
  <si>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</si>
  <si>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</si>
  <si>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</si>
  <si>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</si>
  <si>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</si>
  <si>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</si>
  <si>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</si>
  <si>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</si>
  <si>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</si>
  <si>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</si>
  <si>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</si>
  <si>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</si>
  <si>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</si>
  <si>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</si>
  <si>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</si>
  <si>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</si>
  <si>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</si>
  <si>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</si>
  <si>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</si>
  <si>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</si>
  <si>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</si>
  <si>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</si>
  <si>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</si>
  <si>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</si>
  <si>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</si>
  <si>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</si>
  <si>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</si>
  <si>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</si>
  <si>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</si>
  <si>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</si>
  <si>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</si>
  <si>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</si>
  <si>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</si>
  <si>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</si>
  <si>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</si>
  <si>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</si>
  <si>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</si>
  <si>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</si>
  <si>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</si>
  <si>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</si>
  <si>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</si>
  <si>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</si>
  <si>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</si>
  <si>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</si>
  <si>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</si>
  <si>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</si>
  <si>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</si>
  <si>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</si>
  <si>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</si>
  <si>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</si>
  <si>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</si>
  <si>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</si>
  <si>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</si>
  <si>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</si>
  <si>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</si>
  <si>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</si>
  <si>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</si>
  <si>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</si>
  <si>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</si>
  <si>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</si>
  <si>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</si>
  <si>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</si>
  <si>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</si>
  <si>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</si>
  <si>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</si>
  <si>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</si>
  <si>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</si>
  <si>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</si>
  <si>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</si>
  <si>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</si>
  <si>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</si>
  <si>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</si>
  <si>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</si>
  <si>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</si>
  <si>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</si>
  <si>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</si>
  <si>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</si>
  <si>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</si>
  <si>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</si>
  <si>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</si>
  <si>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</si>
  <si>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</si>
  <si>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</si>
  <si>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</si>
  <si>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</si>
  <si>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</si>
  <si>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</si>
  <si>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</si>
  <si>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</si>
  <si>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</si>
  <si>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</si>
  <si>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</si>
  <si>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</si>
  <si>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</si>
  <si>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</si>
  <si>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</si>
  <si>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</si>
  <si>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</si>
  <si>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</si>
  <si>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</si>
  <si>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</si>
  <si>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</si>
  <si>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</si>
  <si>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</si>
  <si>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</si>
  <si>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</si>
  <si>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</si>
  <si>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</si>
  <si>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</si>
  <si>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</si>
  <si>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</si>
  <si>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</si>
  <si>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</si>
  <si>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</si>
  <si>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</si>
  <si>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</si>
  <si>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</si>
  <si>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</si>
  <si>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</si>
  <si>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</si>
  <si>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</si>
  <si>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</si>
  <si>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</si>
  <si>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</si>
  <si>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</si>
  <si>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</si>
  <si>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</si>
  <si>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</si>
  <si>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</si>
  <si>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</si>
  <si>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</si>
  <si>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</si>
  <si>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</si>
  <si>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</si>
  <si>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</si>
  <si>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</si>
  <si>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</si>
  <si>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</si>
  <si>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</si>
  <si>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</si>
  <si>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</si>
  <si>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</si>
  <si>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</si>
  <si>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</si>
  <si>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</si>
  <si>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</si>
  <si>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</si>
  <si>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</si>
  <si>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</si>
  <si>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</si>
  <si>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</si>
  <si>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</si>
  <si>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</si>
  <si>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</si>
  <si>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</si>
  <si>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</si>
  <si>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</si>
  <si>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</si>
  <si>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</si>
  <si>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</si>
  <si>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</si>
  <si>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</si>
  <si>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</si>
  <si>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</si>
  <si>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</si>
  <si>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</si>
  <si>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</si>
  <si>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</si>
  <si>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</si>
  <si>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</si>
  <si>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</si>
  <si>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</si>
  <si>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</si>
  <si>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</si>
  <si>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</si>
  <si>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</si>
  <si>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</si>
  <si>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</si>
  <si>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</si>
  <si>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</si>
  <si>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</si>
  <si>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</si>
  <si>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</si>
  <si>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</si>
  <si>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</si>
  <si>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</si>
  <si>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</si>
  <si>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</si>
  <si>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</si>
  <si>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</si>
  <si>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</si>
  <si>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</si>
  <si>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</si>
  <si>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</si>
  <si>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</si>
  <si>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</si>
  <si>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</si>
  <si>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</si>
  <si>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</si>
  <si>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</si>
  <si>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</si>
  <si>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</si>
  <si>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</si>
  <si>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</si>
  <si>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</si>
  <si>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</si>
  <si>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</si>
  <si>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</si>
  <si>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</si>
  <si>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</si>
  <si>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</si>
  <si>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</si>
  <si>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</si>
  <si>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</si>
  <si>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</si>
  <si>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</si>
  <si>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</si>
  <si>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</si>
  <si>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</si>
  <si>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</si>
  <si>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</si>
  <si>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</si>
  <si>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</si>
  <si>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</si>
  <si>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</si>
  <si>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</si>
  <si>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</si>
  <si>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</si>
  <si>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</si>
  <si>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</si>
  <si>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</si>
  <si>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</si>
  <si>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</si>
  <si>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</si>
  <si>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</si>
  <si>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</si>
  <si>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</si>
  <si>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</si>
  <si>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</si>
  <si>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</si>
  <si>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</si>
  <si>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</si>
  <si>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</si>
  <si>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</si>
  <si>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</si>
  <si>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</si>
  <si>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</si>
  <si>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</si>
  <si>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</si>
  <si>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</si>
  <si>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</si>
  <si>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</si>
  <si>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</si>
  <si>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</si>
  <si>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</si>
  <si>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</si>
  <si>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</si>
  <si>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</si>
  <si>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</si>
  <si>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</si>
  <si>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</si>
  <si>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</si>
  <si>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</si>
  <si>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</si>
  <si>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</si>
  <si>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</si>
  <si>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</si>
  <si>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</si>
  <si>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</si>
  <si>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</si>
  <si>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</si>
  <si>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</si>
  <si>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</si>
  <si>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</si>
  <si>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</si>
  <si>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</si>
  <si>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</si>
  <si>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</si>
  <si>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</si>
  <si>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</si>
  <si>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</si>
  <si>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</si>
  <si>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</si>
  <si>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</si>
  <si>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</si>
  <si>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</si>
  <si>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</si>
  <si>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</si>
  <si>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</si>
  <si>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</si>
  <si>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</si>
  <si>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</si>
  <si>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</si>
  <si>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</si>
  <si>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</si>
  <si>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</si>
  <si>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</si>
  <si>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</si>
  <si>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</si>
  <si>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</si>
  <si>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</si>
  <si>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</si>
  <si>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</si>
  <si>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</si>
  <si>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</si>
  <si>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</si>
  <si>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</si>
  <si>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</si>
  <si>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</si>
  <si>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</si>
  <si>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</si>
  <si>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</si>
  <si>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</si>
  <si>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</si>
  <si>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</si>
  <si>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</si>
  <si>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</si>
  <si>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</si>
  <si>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</si>
  <si>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</si>
  <si>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</si>
  <si>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</si>
  <si>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</si>
  <si>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</si>
  <si>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</si>
  <si>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</si>
  <si>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</si>
  <si>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</si>
  <si>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</si>
  <si>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</si>
  <si>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</si>
  <si>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</si>
  <si>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</si>
  <si>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</si>
  <si>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</si>
  <si>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</si>
  <si>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</si>
  <si>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</si>
  <si>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</si>
  <si>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</si>
  <si>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</si>
  <si>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</si>
  <si>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</si>
  <si>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</si>
  <si>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</si>
  <si>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</si>
  <si>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</si>
  <si>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</si>
  <si>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</si>
  <si>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</si>
  <si>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</si>
  <si>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</si>
  <si>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</si>
  <si>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</si>
  <si>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</si>
  <si>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</si>
  <si>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</si>
  <si>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</si>
  <si>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</si>
  <si>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</si>
  <si>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</si>
  <si>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</si>
  <si>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</si>
  <si>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</si>
  <si>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</si>
  <si>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</si>
  <si>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</si>
  <si>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</si>
  <si>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</si>
  <si>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</si>
  <si>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</si>
  <si>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</si>
  <si>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</si>
  <si>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</si>
  <si>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</si>
  <si>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</si>
  <si>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</si>
  <si>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</si>
  <si>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</si>
  <si>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</si>
  <si>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</si>
  <si>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</si>
  <si>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</si>
  <si>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</si>
  <si>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</si>
  <si>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</si>
  <si>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</si>
  <si>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</si>
  <si>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</si>
  <si>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</si>
  <si>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</si>
  <si>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</si>
  <si>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</si>
  <si>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</si>
  <si>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</si>
  <si>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</si>
  <si>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</si>
  <si>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</si>
  <si>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</si>
  <si>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</si>
  <si>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</si>
  <si>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</si>
  <si>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</si>
  <si>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</si>
  <si>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</si>
  <si>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</si>
  <si>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</si>
  <si>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</si>
  <si>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</si>
  <si>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</si>
  <si>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</si>
  <si>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</si>
  <si>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</si>
  <si>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</si>
  <si>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</si>
  <si>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</si>
  <si>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</si>
  <si>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</si>
  <si>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</si>
  <si>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</si>
  <si>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</si>
  <si>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</si>
  <si>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</si>
  <si>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</si>
  <si>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</si>
  <si>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</si>
  <si>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</si>
  <si>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</si>
  <si>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</si>
  <si>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</si>
  <si>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</si>
  <si>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</si>
  <si>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</si>
  <si>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</si>
  <si>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</si>
  <si>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</si>
  <si>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</si>
  <si>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</si>
  <si>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</si>
  <si>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</si>
  <si>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</si>
  <si>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</si>
  <si>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</si>
  <si>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</si>
  <si>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</si>
  <si>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</si>
  <si>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</si>
  <si>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</si>
  <si>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</si>
  <si>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</si>
  <si>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</si>
  <si>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</si>
  <si>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</si>
  <si>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</si>
  <si>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</si>
  <si>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</si>
  <si>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</si>
  <si>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</si>
  <si>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</si>
  <si>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</si>
  <si>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</si>
  <si>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</si>
  <si>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</si>
  <si>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</si>
  <si>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</si>
  <si>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</si>
  <si>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</si>
  <si>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</si>
  <si>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</si>
  <si>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</si>
  <si>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</si>
  <si>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</si>
  <si>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</si>
  <si>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</si>
  <si>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</si>
  <si>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</si>
  <si>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</si>
  <si>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</si>
  <si>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</si>
  <si>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</si>
  <si>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</si>
  <si>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</si>
  <si>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</si>
  <si>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</si>
  <si>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</si>
  <si>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</si>
  <si>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</si>
  <si>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</si>
  <si>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</si>
  <si>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</si>
  <si>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</si>
  <si>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</si>
  <si>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</si>
  <si>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</si>
  <si>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</si>
  <si>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</si>
  <si>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</si>
  <si>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</si>
  <si>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</si>
  <si>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</si>
  <si>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</si>
  <si>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</si>
  <si>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</si>
  <si>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</si>
  <si>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</si>
  <si>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</si>
  <si>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</si>
  <si>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</si>
  <si>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</si>
  <si>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</si>
  <si>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</si>
  <si>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</si>
  <si>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</si>
  <si>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</si>
  <si>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</si>
  <si>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</si>
  <si>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</si>
  <si>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</si>
  <si>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</si>
  <si>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</si>
  <si>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</si>
  <si>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</si>
  <si>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</si>
  <si>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</si>
  <si>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</si>
  <si>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</si>
  <si>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</si>
  <si>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</si>
  <si>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</si>
  <si>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</si>
  <si>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</si>
  <si>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</si>
  <si>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</si>
  <si>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</si>
  <si>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</si>
  <si>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</si>
  <si>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</si>
  <si>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</si>
  <si>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</si>
  <si>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</si>
  <si>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</si>
  <si>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</si>
  <si>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</si>
  <si>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</si>
  <si>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</si>
  <si>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</si>
  <si>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</si>
  <si>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</si>
  <si>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</si>
  <si>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</si>
  <si>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</si>
  <si>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</si>
  <si>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</si>
  <si>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</si>
  <si>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</si>
  <si>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</si>
  <si>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</si>
  <si>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</si>
  <si>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</si>
  <si>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</si>
  <si>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</si>
  <si>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</si>
  <si>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</si>
  <si>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</si>
  <si>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</si>
  <si>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</si>
  <si>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</si>
  <si>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</si>
  <si>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</si>
  <si>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</si>
  <si>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</si>
  <si>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</si>
  <si>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</si>
  <si>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</si>
  <si>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</si>
  <si>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</si>
  <si>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</si>
  <si>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</si>
  <si>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</si>
  <si>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</si>
  <si>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</si>
  <si>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</si>
  <si>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</si>
  <si>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</si>
  <si>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</si>
  <si>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</si>
  <si>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</si>
  <si>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</si>
  <si>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</si>
  <si>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</si>
  <si>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</si>
  <si>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</si>
  <si>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</si>
  <si>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</si>
  <si>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</si>
  <si>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</si>
  <si>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</si>
  <si>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</si>
  <si>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</si>
  <si>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</si>
  <si>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</si>
  <si>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</si>
  <si>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</si>
  <si>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</si>
  <si>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</si>
  <si>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</si>
  <si>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</si>
  <si>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</si>
  <si>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</si>
  <si>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</si>
  <si>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</si>
  <si>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</si>
  <si>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</si>
  <si>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</si>
  <si>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</si>
  <si>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</si>
  <si>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</si>
  <si>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</si>
  <si>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</si>
  <si>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</si>
  <si>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</si>
  <si>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</si>
  <si>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</si>
  <si>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</si>
  <si>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</si>
  <si>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</si>
  <si>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</si>
  <si>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</si>
  <si>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</si>
  <si>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</si>
  <si>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</si>
  <si>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</si>
  <si>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以下の基準をそれぞれ満たしている。（期間：令和４年１月１日～12月31日）</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</si>
  <si>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</si>
  <si>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令和５年９月１日時点で自施設に所属する初期臨床研修医の人数</t>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</si>
  <si>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</si>
  <si>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</si>
  <si>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</si>
  <si>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</si>
  <si>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</si>
  <si>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</si>
  <si>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</si>
  <si>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</si>
  <si>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</si>
  <si>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</si>
  <si>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</si>
  <si>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</si>
  <si>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</si>
  <si>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</si>
  <si>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</si>
  <si>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</si>
  <si>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</si>
  <si>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</si>
  <si>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</si>
  <si>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</si>
  <si>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</si>
  <si>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</si>
  <si>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</si>
  <si>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</si>
  <si>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</si>
  <si>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</si>
  <si>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</si>
  <si>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</si>
  <si>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</si>
  <si>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</si>
  <si>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</si>
  <si>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</si>
  <si>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</si>
  <si>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</si>
  <si>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</si>
  <si>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</si>
  <si>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</si>
  <si>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</si>
  <si>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</si>
  <si>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</si>
  <si>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</si>
  <si>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</si>
  <si>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</si>
  <si>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</si>
  <si>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</si>
  <si>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</si>
  <si>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</si>
  <si>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</si>
  <si>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</si>
  <si>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</si>
  <si>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</si>
  <si>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</si>
  <si>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</si>
  <si>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</si>
  <si>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</si>
  <si>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</si>
  <si>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</si>
  <si>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</si>
  <si>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</si>
  <si>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</si>
  <si>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</si>
  <si>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</si>
  <si>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</si>
  <si>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</si>
  <si>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</si>
  <si>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</si>
  <si>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</si>
  <si>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</si>
  <si>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</si>
  <si>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</si>
  <si>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</si>
  <si>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</si>
  <si>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</si>
  <si>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</si>
  <si>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</si>
  <si>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</si>
  <si>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</si>
  <si>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</si>
  <si>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</si>
  <si>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</si>
  <si>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</si>
  <si>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</si>
  <si>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</si>
  <si>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</si>
  <si>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</si>
  <si>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</si>
  <si>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</si>
  <si>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</si>
  <si>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</si>
  <si>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</si>
  <si>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</si>
  <si>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</si>
  <si>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</si>
  <si>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</si>
  <si>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</si>
  <si>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</si>
  <si>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</si>
  <si>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</si>
  <si>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</si>
  <si>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</si>
  <si>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</si>
  <si>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</si>
  <si>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</si>
  <si>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</si>
  <si>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</si>
  <si>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</si>
  <si>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</si>
  <si>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</si>
  <si>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</si>
  <si>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</si>
  <si>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</si>
  <si>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</si>
  <si>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</si>
  <si>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</si>
  <si>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</si>
  <si>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</si>
  <si>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</si>
  <si>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</si>
  <si>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</si>
  <si>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</si>
  <si>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</si>
  <si>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</si>
  <si>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</si>
  <si>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</si>
  <si>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</si>
  <si>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</si>
  <si>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</si>
  <si>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</si>
  <si>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</si>
  <si>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</si>
  <si>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</si>
  <si>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</si>
  <si>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</si>
  <si>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</si>
  <si>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</si>
  <si>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</si>
  <si>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</si>
  <si>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</si>
  <si>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</si>
  <si>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</si>
  <si>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</si>
  <si>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</si>
  <si>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</si>
  <si>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</si>
  <si>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</si>
  <si>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</si>
  <si>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</si>
  <si>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</si>
  <si>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</si>
  <si>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</si>
  <si>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</si>
  <si>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</si>
  <si>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</si>
  <si>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</si>
  <si>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</si>
  <si>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</si>
  <si>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</si>
  <si>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</si>
  <si>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</si>
  <si>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</si>
  <si>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</si>
  <si>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</si>
  <si>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</si>
  <si>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</si>
  <si>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</si>
  <si>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</si>
  <si>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</si>
  <si>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</si>
  <si>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</si>
  <si>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</si>
  <si>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</si>
  <si>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</si>
  <si>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</si>
  <si>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</si>
  <si>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</si>
  <si>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</si>
  <si>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</si>
  <si>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</si>
  <si>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</si>
  <si>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</si>
  <si>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</si>
  <si>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</si>
  <si>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</si>
  <si>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</si>
  <si>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</si>
  <si>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</si>
  <si>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</si>
  <si>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</si>
  <si>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</si>
  <si>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</si>
  <si>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</si>
  <si>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</si>
  <si>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</si>
  <si>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</si>
  <si>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</si>
  <si>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</si>
  <si>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</si>
  <si>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</si>
  <si>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</si>
  <si>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</si>
  <si>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</si>
  <si>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</si>
  <si>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</si>
  <si>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</si>
  <si>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</si>
  <si>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</si>
  <si>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</si>
  <si>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</si>
  <si>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</si>
  <si>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</si>
  <si>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</si>
  <si>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</si>
  <si>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</si>
  <si>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</si>
  <si>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</si>
  <si>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</si>
  <si>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</si>
  <si>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</si>
  <si>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</si>
  <si>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</si>
  <si>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</si>
  <si>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</si>
  <si>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</si>
  <si>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</si>
  <si>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</si>
  <si>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</si>
  <si>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</si>
  <si>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</si>
  <si>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</si>
  <si>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</si>
  <si>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</si>
  <si>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</si>
  <si>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</si>
  <si>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</si>
  <si>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</si>
  <si>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</si>
  <si>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</si>
  <si>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</si>
  <si>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</si>
  <si>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</si>
  <si>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</si>
  <si>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がん患者に対するB-010 診療情報提供書（II）の算定件数　（期間：令和４年１月１日～12月31日）※0件の場合は「0」と記載してください。（未入力チェックのため）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</si>
  <si>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</si>
  <si>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</si>
  <si>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</si>
  <si>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</si>
  <si>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</si>
  <si>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</si>
  <si>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</si>
  <si>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</si>
  <si>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</si>
  <si>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</si>
  <si>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</si>
  <si>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</si>
  <si>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</si>
  <si>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</si>
  <si>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</si>
  <si>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</si>
  <si>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</si>
  <si>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</si>
  <si>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</si>
  <si>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</si>
  <si>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</si>
  <si>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</si>
  <si>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</si>
  <si>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</si>
  <si>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</si>
  <si>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</si>
  <si>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</si>
  <si>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</si>
  <si>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</si>
  <si>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</si>
  <si>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</si>
  <si>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</si>
  <si>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</si>
  <si>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</si>
  <si>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</si>
  <si>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</si>
  <si>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</si>
  <si>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</si>
  <si>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</si>
  <si>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</si>
  <si>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</si>
  <si>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</si>
  <si>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</si>
  <si>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</si>
  <si>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</si>
  <si>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</si>
  <si>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</si>
  <si>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</si>
  <si>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</si>
  <si>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</si>
  <si>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</si>
  <si>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</si>
  <si>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</si>
  <si>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</si>
  <si>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</si>
  <si>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</si>
  <si>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</si>
  <si>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</si>
  <si>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</si>
  <si>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</si>
  <si>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</si>
  <si>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</si>
  <si>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</si>
  <si>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</si>
  <si>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</si>
  <si>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</si>
  <si>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</si>
  <si>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</si>
  <si>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</si>
  <si>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</si>
  <si>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</si>
  <si>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</si>
  <si>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</si>
  <si>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</si>
  <si>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</si>
  <si>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</si>
  <si>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</si>
  <si>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</si>
  <si>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</si>
  <si>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</si>
  <si>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</si>
  <si>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</si>
  <si>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</si>
  <si>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</si>
  <si>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</si>
  <si>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</si>
  <si>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</si>
  <si>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</si>
  <si>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</si>
  <si>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</si>
  <si>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</si>
  <si>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</si>
  <si>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</si>
  <si>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</si>
  <si>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</si>
  <si>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</si>
  <si>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</si>
  <si>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</si>
  <si>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</si>
  <si>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</si>
  <si>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</si>
  <si>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</si>
  <si>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</si>
  <si>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</si>
  <si>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</si>
  <si>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</si>
  <si>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</si>
  <si>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</si>
  <si>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</si>
  <si>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</si>
  <si>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</si>
  <si>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</si>
  <si>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</si>
  <si>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</si>
  <si>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</si>
  <si>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</si>
  <si>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</si>
  <si>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</si>
  <si>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</si>
  <si>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</si>
  <si>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</si>
  <si>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</si>
  <si>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</si>
  <si>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</si>
  <si>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</si>
  <si>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</si>
  <si>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</si>
  <si>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</si>
  <si>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</si>
  <si>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</si>
  <si>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</si>
  <si>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</si>
  <si>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</si>
  <si>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</si>
  <si>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</si>
  <si>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</si>
  <si>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</si>
  <si>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</si>
  <si>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</si>
  <si>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</si>
  <si>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</si>
  <si>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</si>
  <si>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</si>
  <si>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</si>
  <si>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</si>
  <si>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</si>
  <si>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</si>
  <si>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</si>
  <si>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</si>
  <si>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</si>
  <si>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</si>
  <si>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</si>
  <si>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</si>
  <si>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</si>
  <si>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</si>
  <si>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</si>
  <si>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</si>
  <si>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</si>
  <si>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</si>
  <si>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</si>
  <si>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</si>
  <si>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</si>
  <si>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</si>
  <si>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</si>
  <si>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</si>
  <si>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</si>
  <si>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</si>
  <si>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</si>
  <si>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</si>
  <si>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</si>
  <si>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</si>
  <si>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</si>
  <si>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</si>
  <si>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</si>
  <si>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</si>
  <si>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</si>
  <si>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</si>
  <si>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</si>
  <si>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</si>
  <si>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</si>
  <si>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</si>
  <si>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</si>
  <si>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</si>
  <si>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</si>
  <si>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</si>
  <si>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</si>
  <si>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</si>
  <si>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</si>
  <si>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</si>
  <si>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</si>
  <si>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</si>
  <si>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</si>
  <si>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</si>
  <si>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</si>
  <si>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</si>
  <si>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</si>
  <si>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</si>
  <si>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</si>
  <si>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</si>
  <si>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</si>
  <si>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</si>
  <si>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</si>
  <si>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大阪府がん診療拠点病院</t>
  </si>
  <si>
    <t>公益財団法人　日本生命済生会　日本生命病院</t>
    <rPh sb="0" eb="6">
      <t>コウエキザイダンホウジン</t>
    </rPh>
    <rPh sb="7" eb="14">
      <t>ニホンセイメイサイセイカイ</t>
    </rPh>
    <rPh sb="15" eb="21">
      <t>ニホンセイメイビョウイン</t>
    </rPh>
    <phoneticPr fontId="8"/>
  </si>
  <si>
    <t>こうえきざいだんほうじん　にほんせいめいさいせいかい　にほんせいめいびょういん</t>
    <phoneticPr fontId="8" type="Hiragana"/>
  </si>
  <si>
    <t>550-0006</t>
    <phoneticPr fontId="8" type="Hiragana"/>
  </si>
  <si>
    <t>大阪府</t>
  </si>
  <si>
    <t>大阪市西区江之子島2丁目1番54号</t>
    <rPh sb="0" eb="3">
      <t>おおさかし</t>
    </rPh>
    <rPh sb="3" eb="5">
      <t>にしく</t>
    </rPh>
    <rPh sb="5" eb="9">
      <t>えのこじま</t>
    </rPh>
    <rPh sb="10" eb="12">
      <t>ちょうめ</t>
    </rPh>
    <rPh sb="13" eb="14">
      <t>ばん</t>
    </rPh>
    <rPh sb="16" eb="17">
      <t>ごう</t>
    </rPh>
    <phoneticPr fontId="8" type="Hiragana"/>
  </si>
  <si>
    <t>おおさかしにしくえのこじま</t>
    <phoneticPr fontId="8" type="Hiragana"/>
  </si>
  <si>
    <t>06-6443-3446</t>
    <phoneticPr fontId="8" type="Hiragana"/>
  </si>
  <si>
    <t>06-6443-3557</t>
    <phoneticPr fontId="8" type="Hiragana"/>
  </si>
  <si>
    <t>可</t>
  </si>
  <si>
    <t>あり</t>
  </si>
  <si>
    <t>いいえ</t>
  </si>
  <si>
    <t>はい</t>
  </si>
  <si>
    <t>依頼時、必要なデータを提供</t>
    <rPh sb="0" eb="3">
      <t>イライジ</t>
    </rPh>
    <rPh sb="4" eb="6">
      <t>ヒツヨウ</t>
    </rPh>
    <rPh sb="11" eb="13">
      <t>テイキョウ</t>
    </rPh>
    <phoneticPr fontId="8"/>
  </si>
  <si>
    <t>ホームページに掲載</t>
    <rPh sb="7" eb="9">
      <t>ケイサイ</t>
    </rPh>
    <phoneticPr fontId="8"/>
  </si>
  <si>
    <t>化学療法（曝露対策）について</t>
    <rPh sb="0" eb="4">
      <t>カガクリョウホウ</t>
    </rPh>
    <rPh sb="5" eb="7">
      <t>バクロ</t>
    </rPh>
    <rPh sb="7" eb="9">
      <t>タイサク</t>
    </rPh>
    <phoneticPr fontId="8"/>
  </si>
  <si>
    <t>日本医療機能評価機構 病院機能評価</t>
  </si>
  <si>
    <t>患者毎により適切ながん医療を提供できるように、各診療科の意思やがん治療に関与する看護師、薬剤師、放射線技師、理学療法士、医療ソーシャルワーカー等が月１回カンファレンスを開催して、患者さんの症状、病態及び治療方針等について意見交換・検討を行い、情報を共有しています。</t>
    <rPh sb="0" eb="2">
      <t>カンジャ</t>
    </rPh>
    <rPh sb="2" eb="3">
      <t>ゴト</t>
    </rPh>
    <rPh sb="6" eb="8">
      <t>テキセツ</t>
    </rPh>
    <rPh sb="11" eb="13">
      <t>イリョウ</t>
    </rPh>
    <rPh sb="14" eb="16">
      <t>テイキョウ</t>
    </rPh>
    <rPh sb="23" eb="24">
      <t>カク</t>
    </rPh>
    <rPh sb="24" eb="27">
      <t>シンリョウカ</t>
    </rPh>
    <rPh sb="28" eb="30">
      <t>イシ</t>
    </rPh>
    <rPh sb="33" eb="35">
      <t>チリョウ</t>
    </rPh>
    <rPh sb="36" eb="38">
      <t>カンヨ</t>
    </rPh>
    <rPh sb="40" eb="43">
      <t>カンゴシ</t>
    </rPh>
    <rPh sb="44" eb="47">
      <t>ヤクザイシ</t>
    </rPh>
    <rPh sb="48" eb="51">
      <t>ホウシャセン</t>
    </rPh>
    <rPh sb="51" eb="53">
      <t>ギシ</t>
    </rPh>
    <rPh sb="54" eb="56">
      <t>リガク</t>
    </rPh>
    <rPh sb="56" eb="59">
      <t>リョウホウシ</t>
    </rPh>
    <rPh sb="60" eb="62">
      <t>イリョウ</t>
    </rPh>
    <rPh sb="71" eb="72">
      <t>トウ</t>
    </rPh>
    <rPh sb="73" eb="74">
      <t>ツキ</t>
    </rPh>
    <rPh sb="75" eb="76">
      <t>カイ</t>
    </rPh>
    <rPh sb="84" eb="86">
      <t>カイサイ</t>
    </rPh>
    <rPh sb="89" eb="91">
      <t>カンジャ</t>
    </rPh>
    <rPh sb="94" eb="96">
      <t>ショウジョウ</t>
    </rPh>
    <rPh sb="97" eb="99">
      <t>ビョウタイ</t>
    </rPh>
    <rPh sb="99" eb="100">
      <t>オヨ</t>
    </rPh>
    <rPh sb="101" eb="103">
      <t>チリョウ</t>
    </rPh>
    <rPh sb="103" eb="105">
      <t>ホウシン</t>
    </rPh>
    <rPh sb="105" eb="106">
      <t>トウ</t>
    </rPh>
    <rPh sb="110" eb="112">
      <t>イケン</t>
    </rPh>
    <rPh sb="112" eb="114">
      <t>コウカン</t>
    </rPh>
    <rPh sb="115" eb="117">
      <t>ケントウ</t>
    </rPh>
    <rPh sb="118" eb="119">
      <t>オコナ</t>
    </rPh>
    <rPh sb="121" eb="123">
      <t>ジョウホウ</t>
    </rPh>
    <rPh sb="124" eb="126">
      <t>キョウユウ</t>
    </rPh>
    <phoneticPr fontId="8"/>
  </si>
  <si>
    <t>がん性疼痛外来</t>
    <rPh sb="2" eb="3">
      <t>セイ</t>
    </rPh>
    <rPh sb="3" eb="5">
      <t>トウツウ</t>
    </rPh>
    <rPh sb="5" eb="7">
      <t>ガイライ</t>
    </rPh>
    <phoneticPr fontId="8"/>
  </si>
  <si>
    <t>麻酔・緩和医療科</t>
    <rPh sb="0" eb="2">
      <t>マスイ</t>
    </rPh>
    <rPh sb="3" eb="7">
      <t>カンワイリョウ</t>
    </rPh>
    <rPh sb="7" eb="8">
      <t>カ</t>
    </rPh>
    <phoneticPr fontId="8"/>
  </si>
  <si>
    <t>がん性疼痛の診断と治療</t>
    <rPh sb="2" eb="3">
      <t>セイ</t>
    </rPh>
    <rPh sb="3" eb="5">
      <t>トウツウ</t>
    </rPh>
    <rPh sb="6" eb="8">
      <t>シンダン</t>
    </rPh>
    <rPh sb="9" eb="11">
      <t>チリョウ</t>
    </rPh>
    <phoneticPr fontId="8"/>
  </si>
  <si>
    <t>https://www.nissay-hp.or.jp/section/masui-ka/</t>
  </si>
  <si>
    <t>がん治療センター　がん相談支援センター</t>
    <rPh sb="2" eb="4">
      <t>チリョウ</t>
    </rPh>
    <rPh sb="11" eb="13">
      <t>ソウダン</t>
    </rPh>
    <rPh sb="13" eb="15">
      <t>シエン</t>
    </rPh>
    <phoneticPr fontId="8"/>
  </si>
  <si>
    <t>06-6443-3446</t>
  </si>
  <si>
    <t>地域医療相談窓口　あったかサポートセンター　医療連携グループ</t>
    <rPh sb="0" eb="2">
      <t>チイキ</t>
    </rPh>
    <rPh sb="2" eb="4">
      <t>イリョウ</t>
    </rPh>
    <rPh sb="4" eb="6">
      <t>ソウダン</t>
    </rPh>
    <rPh sb="6" eb="8">
      <t>マドグチ</t>
    </rPh>
    <rPh sb="22" eb="24">
      <t>イリョウ</t>
    </rPh>
    <rPh sb="24" eb="26">
      <t>レンケイ</t>
    </rPh>
    <phoneticPr fontId="8"/>
  </si>
  <si>
    <t>病棟がありません</t>
  </si>
  <si>
    <t>・医療機関において安心・安全に電波を利用するための手引き（電波協議会）
・WiFi利用者向け簡易マニュアル～安全なWiFiの利用に向けて～（総務省）
・WiFi提供者向け簡易マニュアル～安全なWiFiの利用に向けて～（総務省）
・総務省「無線 LAN のセキュリティに関するガイドライン」における医療機関で重要となる対策のポイント
・医療情報システムの安全管理に関する ガイドラン（厚労省）</t>
    <phoneticPr fontId="8"/>
  </si>
  <si>
    <t>◎</t>
  </si>
  <si>
    <t>脳神経外科</t>
    <rPh sb="0" eb="5">
      <t>ノウシンケイゲカ</t>
    </rPh>
    <phoneticPr fontId="69"/>
  </si>
  <si>
    <t>眼科</t>
    <rPh sb="0" eb="2">
      <t>ガンカ</t>
    </rPh>
    <phoneticPr fontId="69"/>
  </si>
  <si>
    <t>△</t>
  </si>
  <si>
    <t>◎</t>
    <phoneticPr fontId="69"/>
  </si>
  <si>
    <t>耳鼻咽喉・頭頸部外科</t>
    <rPh sb="0" eb="4">
      <t>ジビインコウ</t>
    </rPh>
    <rPh sb="5" eb="10">
      <t>トウケイブゲカ</t>
    </rPh>
    <phoneticPr fontId="69"/>
  </si>
  <si>
    <t>耳鼻咽喉・頭頸部外科</t>
  </si>
  <si>
    <t>乳腺外科</t>
    <rPh sb="0" eb="4">
      <t>ニュウセンゲカ</t>
    </rPh>
    <phoneticPr fontId="69"/>
  </si>
  <si>
    <t>呼吸器外科
呼吸器・免疫内科</t>
    <rPh sb="0" eb="5">
      <t>コキュウキゲカ</t>
    </rPh>
    <rPh sb="6" eb="9">
      <t>コキュウキ</t>
    </rPh>
    <rPh sb="10" eb="12">
      <t>メンエキ</t>
    </rPh>
    <rPh sb="12" eb="14">
      <t>ナイカ</t>
    </rPh>
    <phoneticPr fontId="69"/>
  </si>
  <si>
    <t>呼吸器外科</t>
    <rPh sb="0" eb="5">
      <t>コキュウキゲカ</t>
    </rPh>
    <phoneticPr fontId="69"/>
  </si>
  <si>
    <t>呼吸器外科・泌尿器科</t>
    <rPh sb="0" eb="5">
      <t>コキュウキゲカ</t>
    </rPh>
    <rPh sb="6" eb="10">
      <t>ヒニョウキカ</t>
    </rPh>
    <phoneticPr fontId="69"/>
  </si>
  <si>
    <t>消化器外科・消化器内科</t>
    <rPh sb="0" eb="5">
      <t>ショウカキゲカ</t>
    </rPh>
    <rPh sb="6" eb="11">
      <t>ショウカキナイカ</t>
    </rPh>
    <phoneticPr fontId="69"/>
  </si>
  <si>
    <t>消化器外科</t>
    <rPh sb="0" eb="5">
      <t>ショウカキゲカ</t>
    </rPh>
    <phoneticPr fontId="69"/>
  </si>
  <si>
    <t>消化器外科・泌尿器科</t>
    <rPh sb="0" eb="5">
      <t>ショウカキゲカ</t>
    </rPh>
    <rPh sb="6" eb="10">
      <t>ヒニョウキカ</t>
    </rPh>
    <phoneticPr fontId="69"/>
  </si>
  <si>
    <t>泌尿器科</t>
    <rPh sb="0" eb="4">
      <t>ヒニョウキカ</t>
    </rPh>
    <phoneticPr fontId="69"/>
  </si>
  <si>
    <t>産婦人科</t>
    <rPh sb="0" eb="4">
      <t>サンフジンカ</t>
    </rPh>
    <phoneticPr fontId="69"/>
  </si>
  <si>
    <t>皮膚科・整形外科</t>
    <rPh sb="0" eb="3">
      <t>ヒフカ</t>
    </rPh>
    <rPh sb="4" eb="8">
      <t>セイケイゲカ</t>
    </rPh>
    <phoneticPr fontId="69"/>
  </si>
  <si>
    <t>整形外科</t>
    <rPh sb="0" eb="4">
      <t>セイケイゲカ</t>
    </rPh>
    <phoneticPr fontId="69"/>
  </si>
  <si>
    <t>形成再建外科</t>
    <rPh sb="0" eb="2">
      <t>ケイセイ</t>
    </rPh>
    <rPh sb="2" eb="4">
      <t>サイケン</t>
    </rPh>
    <rPh sb="4" eb="6">
      <t>ゲカ</t>
    </rPh>
    <phoneticPr fontId="69"/>
  </si>
  <si>
    <t>皮膚科・形成再建外科</t>
    <rPh sb="0" eb="3">
      <t>ヒフカ</t>
    </rPh>
    <phoneticPr fontId="69"/>
  </si>
  <si>
    <t>皮膚科
血液化学療法内科</t>
    <rPh sb="0" eb="3">
      <t>ヒフカ</t>
    </rPh>
    <rPh sb="4" eb="8">
      <t>ケツエキカガク</t>
    </rPh>
    <rPh sb="8" eb="10">
      <t>リョウホウ</t>
    </rPh>
    <rPh sb="10" eb="12">
      <t>ナイカ</t>
    </rPh>
    <phoneticPr fontId="69"/>
  </si>
  <si>
    <t>血液化学療法内科</t>
  </si>
  <si>
    <t>小児科</t>
    <rPh sb="0" eb="3">
      <t>ショウニカ</t>
    </rPh>
    <phoneticPr fontId="69"/>
  </si>
  <si>
    <t>無</t>
  </si>
  <si>
    <t>有</t>
  </si>
  <si>
    <t>なし</t>
    <phoneticPr fontId="8"/>
  </si>
  <si>
    <t>いいえ</t>
    <phoneticPr fontId="8"/>
  </si>
  <si>
    <t>ホームページ、院内掲示、入院案内</t>
    <rPh sb="7" eb="9">
      <t>インナイ</t>
    </rPh>
    <rPh sb="9" eb="11">
      <t>ケイジ</t>
    </rPh>
    <rPh sb="12" eb="14">
      <t>ニュウイン</t>
    </rPh>
    <rPh sb="14" eb="16">
      <t>アンナイ</t>
    </rPh>
    <phoneticPr fontId="7"/>
  </si>
  <si>
    <t>ホームページに掲載</t>
    <rPh sb="7" eb="9">
      <t>ケイサイ</t>
    </rPh>
    <phoneticPr fontId="7"/>
  </si>
  <si>
    <t>はい</t>
    <phoneticPr fontId="8"/>
  </si>
  <si>
    <t>相談支援センター相談員研修およびがん専門相談員研修、両立支援コーディネーター研修を受講した認定看護師およびMSWが相談対応し、必要に応じて専門機関と連携しながら支援している。</t>
  </si>
  <si>
    <t>相談支援センターの認定看護師が相談・支援をしている。大阪がん・生殖医療ネットワーク主催の研修会などを定期的に受講し、スキルアップを図っている。</t>
  </si>
  <si>
    <t>がん相談支援センターの認定看護師が主治医からの病状説明に同席し、相談・支援をしている。大阪府がん患者等妊よう性温存治療費等助成事業のリーフレットをお渡しし、個別に助成事業の説明を行っている。グループウェアにも助成事業の案内および実施医療機関一覧を掲載し、院内職員への周知を図っている。</t>
  </si>
  <si>
    <t>相談支援センター相談員研修およびがん専門相談員研修を受講した認定看護師およびMSWが相談対応し、必要に応じて専門機関と連携しながら支援している。</t>
    <rPh sb="0" eb="2">
      <t>ソウダン</t>
    </rPh>
    <rPh sb="2" eb="4">
      <t>シエン</t>
    </rPh>
    <rPh sb="8" eb="11">
      <t>ソウダンイン</t>
    </rPh>
    <rPh sb="11" eb="13">
      <t>ケンシュウ</t>
    </rPh>
    <rPh sb="18" eb="20">
      <t>センモン</t>
    </rPh>
    <rPh sb="20" eb="23">
      <t>ソウダンイン</t>
    </rPh>
    <rPh sb="23" eb="25">
      <t>ケンシュウ</t>
    </rPh>
    <rPh sb="26" eb="28">
      <t>ジュコウ</t>
    </rPh>
    <rPh sb="30" eb="32">
      <t>ニンテイ</t>
    </rPh>
    <rPh sb="32" eb="35">
      <t>カンゴシ</t>
    </rPh>
    <rPh sb="42" eb="44">
      <t>ソウダン</t>
    </rPh>
    <rPh sb="44" eb="46">
      <t>タイオウ</t>
    </rPh>
    <rPh sb="48" eb="50">
      <t>ヒツヨウ</t>
    </rPh>
    <rPh sb="51" eb="52">
      <t>オウ</t>
    </rPh>
    <rPh sb="54" eb="56">
      <t>センモン</t>
    </rPh>
    <rPh sb="56" eb="58">
      <t>キカン</t>
    </rPh>
    <rPh sb="59" eb="61">
      <t>レンケイ</t>
    </rPh>
    <rPh sb="65" eb="67">
      <t>シエン</t>
    </rPh>
    <phoneticPr fontId="7"/>
  </si>
  <si>
    <t>相談支援センター相談員研修およびがん専門相談員研修、両立支援コーディネーター研修を受講した認定看護師およびMSWが相談対応し、必要に応じて専門機関と連携しながら支援している。</t>
    <rPh sb="0" eb="2">
      <t>ソウダン</t>
    </rPh>
    <rPh sb="2" eb="4">
      <t>シエン</t>
    </rPh>
    <rPh sb="8" eb="11">
      <t>ソウダンイン</t>
    </rPh>
    <rPh sb="11" eb="13">
      <t>ケンシュウ</t>
    </rPh>
    <rPh sb="18" eb="20">
      <t>センモン</t>
    </rPh>
    <rPh sb="20" eb="23">
      <t>ソウダンイン</t>
    </rPh>
    <rPh sb="23" eb="25">
      <t>ケンシュウ</t>
    </rPh>
    <rPh sb="26" eb="28">
      <t>リョウリツ</t>
    </rPh>
    <rPh sb="28" eb="30">
      <t>シエン</t>
    </rPh>
    <rPh sb="38" eb="40">
      <t>ケンシュウ</t>
    </rPh>
    <rPh sb="41" eb="43">
      <t>ジュコウ</t>
    </rPh>
    <rPh sb="45" eb="47">
      <t>ニンテイ</t>
    </rPh>
    <rPh sb="47" eb="50">
      <t>カンゴシ</t>
    </rPh>
    <rPh sb="57" eb="59">
      <t>ソウダン</t>
    </rPh>
    <rPh sb="59" eb="61">
      <t>タイオウ</t>
    </rPh>
    <rPh sb="63" eb="65">
      <t>ヒツヨウ</t>
    </rPh>
    <rPh sb="66" eb="67">
      <t>オウ</t>
    </rPh>
    <rPh sb="69" eb="71">
      <t>センモン</t>
    </rPh>
    <rPh sb="71" eb="73">
      <t>キカン</t>
    </rPh>
    <rPh sb="74" eb="76">
      <t>レンケイ</t>
    </rPh>
    <rPh sb="80" eb="82">
      <t>シエン</t>
    </rPh>
    <phoneticPr fontId="7"/>
  </si>
  <si>
    <t>認定看護師およびMSWが相談対応し、状態に応じた助言や助成事業等についての情報提供、医師への処方相談等を行っている。
がんサロンにてメーカーからの情報提供、個別相談の機会を作っている。</t>
    <rPh sb="0" eb="2">
      <t>ニンテイ</t>
    </rPh>
    <rPh sb="2" eb="5">
      <t>カンゴシ</t>
    </rPh>
    <rPh sb="12" eb="14">
      <t>ソウダン</t>
    </rPh>
    <rPh sb="14" eb="16">
      <t>タイオウ</t>
    </rPh>
    <rPh sb="18" eb="20">
      <t>ジョウタイ</t>
    </rPh>
    <rPh sb="21" eb="22">
      <t>オウ</t>
    </rPh>
    <rPh sb="24" eb="26">
      <t>ジョゲン</t>
    </rPh>
    <rPh sb="27" eb="29">
      <t>ジョセイ</t>
    </rPh>
    <rPh sb="29" eb="31">
      <t>ジギョウ</t>
    </rPh>
    <rPh sb="31" eb="32">
      <t>トウ</t>
    </rPh>
    <rPh sb="37" eb="41">
      <t>ジョウホウテイキョウ</t>
    </rPh>
    <rPh sb="42" eb="44">
      <t>イシ</t>
    </rPh>
    <rPh sb="46" eb="48">
      <t>ショホウ</t>
    </rPh>
    <rPh sb="48" eb="50">
      <t>ソウダン</t>
    </rPh>
    <rPh sb="50" eb="51">
      <t>トウ</t>
    </rPh>
    <rPh sb="52" eb="53">
      <t>オコナ</t>
    </rPh>
    <rPh sb="73" eb="77">
      <t>ジョウホウテイキョウ</t>
    </rPh>
    <rPh sb="78" eb="80">
      <t>コベツ</t>
    </rPh>
    <rPh sb="80" eb="82">
      <t>ソウダン</t>
    </rPh>
    <rPh sb="83" eb="85">
      <t>キカイ</t>
    </rPh>
    <rPh sb="86" eb="87">
      <t>ツク</t>
    </rPh>
    <phoneticPr fontId="7"/>
  </si>
  <si>
    <t>がん相談支援センター</t>
    <rPh sb="2" eb="4">
      <t>ソウダン</t>
    </rPh>
    <rPh sb="4" eb="6">
      <t>シエン</t>
    </rPh>
    <phoneticPr fontId="7"/>
  </si>
  <si>
    <t>実施</t>
  </si>
  <si>
    <t>未実施</t>
  </si>
  <si>
    <t>整備していない</t>
    <rPh sb="0" eb="2">
      <t>セイビ</t>
    </rPh>
    <phoneticPr fontId="7"/>
  </si>
  <si>
    <t>がん相談支援センター
外来化学療法室</t>
    <rPh sb="2" eb="4">
      <t>ソウダン</t>
    </rPh>
    <rPh sb="4" eb="6">
      <t>シエン</t>
    </rPh>
    <rPh sb="11" eb="13">
      <t>ガイライ</t>
    </rPh>
    <rPh sb="13" eb="18">
      <t>カガクリョウホウシツ</t>
    </rPh>
    <phoneticPr fontId="7"/>
  </si>
  <si>
    <t>阪喉会</t>
    <rPh sb="0" eb="1">
      <t>ハン</t>
    </rPh>
    <rPh sb="1" eb="2">
      <t>ノド</t>
    </rPh>
    <rPh sb="2" eb="3">
      <t>カイ</t>
    </rPh>
    <phoneticPr fontId="7"/>
  </si>
  <si>
    <t>喉頭がん</t>
    <rPh sb="0" eb="2">
      <t>コウトウ</t>
    </rPh>
    <phoneticPr fontId="7"/>
  </si>
  <si>
    <t>喉頭摘出術等により音声・言語機能を失った方が、食道発声法や電動式人工喉頭使用の訓練を希望した場合、教室への参加を相談・依頼している。</t>
    <rPh sb="0" eb="5">
      <t>コウトウテキシュツジュツ</t>
    </rPh>
    <rPh sb="5" eb="6">
      <t>トウ</t>
    </rPh>
    <rPh sb="9" eb="11">
      <t>オンセイ</t>
    </rPh>
    <rPh sb="12" eb="14">
      <t>ゲンゴ</t>
    </rPh>
    <rPh sb="14" eb="16">
      <t>キノウ</t>
    </rPh>
    <rPh sb="17" eb="18">
      <t>ウシナ</t>
    </rPh>
    <rPh sb="20" eb="21">
      <t>カタ</t>
    </rPh>
    <rPh sb="23" eb="25">
      <t>ショクドウ</t>
    </rPh>
    <rPh sb="25" eb="28">
      <t>ハッセイホウ</t>
    </rPh>
    <rPh sb="29" eb="32">
      <t>デンドウシキ</t>
    </rPh>
    <rPh sb="32" eb="36">
      <t>ジンコウコウトウ</t>
    </rPh>
    <rPh sb="36" eb="38">
      <t>シヨウ</t>
    </rPh>
    <rPh sb="39" eb="41">
      <t>クンレン</t>
    </rPh>
    <rPh sb="42" eb="44">
      <t>キボウ</t>
    </rPh>
    <rPh sb="46" eb="48">
      <t>バアイ</t>
    </rPh>
    <rPh sb="49" eb="51">
      <t>キョウシツ</t>
    </rPh>
    <rPh sb="53" eb="55">
      <t>サンカ</t>
    </rPh>
    <rPh sb="56" eb="58">
      <t>ソウダン</t>
    </rPh>
    <rPh sb="59" eb="61">
      <t>イライ</t>
    </rPh>
    <phoneticPr fontId="7"/>
  </si>
  <si>
    <t>歯科医師(院外)</t>
  </si>
  <si>
    <t>看護師(院内)</t>
  </si>
  <si>
    <t>薬剤師(院内)</t>
  </si>
  <si>
    <t>言語聴覚士(院内)</t>
  </si>
  <si>
    <t>管理栄養士(院内)</t>
  </si>
  <si>
    <t>事務職員(院内)</t>
  </si>
  <si>
    <t>地区歯科医師会に所属している歯科医院の歯科医師</t>
    <rPh sb="0" eb="2">
      <t>チク</t>
    </rPh>
    <rPh sb="1" eb="2">
      <t>ク</t>
    </rPh>
    <rPh sb="2" eb="7">
      <t>シカイシカイ</t>
    </rPh>
    <rPh sb="8" eb="10">
      <t>ショゾク</t>
    </rPh>
    <rPh sb="14" eb="16">
      <t>シカ</t>
    </rPh>
    <rPh sb="16" eb="18">
      <t>イイン</t>
    </rPh>
    <rPh sb="19" eb="21">
      <t>シカ</t>
    </rPh>
    <rPh sb="21" eb="23">
      <t>イシ</t>
    </rPh>
    <phoneticPr fontId="7"/>
  </si>
  <si>
    <t>病棟師長（1名）、認定看護師（3名）</t>
    <rPh sb="0" eb="2">
      <t>ビョウトウ</t>
    </rPh>
    <rPh sb="2" eb="4">
      <t>シチョウ</t>
    </rPh>
    <rPh sb="6" eb="7">
      <t>メイ</t>
    </rPh>
    <rPh sb="9" eb="14">
      <t>ニンテイカンゴシ</t>
    </rPh>
    <rPh sb="16" eb="17">
      <t>メイ</t>
    </rPh>
    <phoneticPr fontId="7"/>
  </si>
  <si>
    <t>医療ソーシャルワーカー（職種選択になかったため、事務職員を選択）</t>
    <rPh sb="0" eb="2">
      <t>イリョウ</t>
    </rPh>
    <rPh sb="12" eb="14">
      <t>ショクシュ</t>
    </rPh>
    <rPh sb="14" eb="16">
      <t>センタク</t>
    </rPh>
    <rPh sb="24" eb="26">
      <t>ジム</t>
    </rPh>
    <rPh sb="26" eb="28">
      <t>ショクイン</t>
    </rPh>
    <rPh sb="29" eb="31">
      <t>センタク</t>
    </rPh>
    <phoneticPr fontId="7"/>
  </si>
  <si>
    <t>地域の歯科医師と連携体制を構築</t>
  </si>
  <si>
    <t>連携体制を構築していない</t>
  </si>
  <si>
    <t>＜入院患者の場合＞
・地区歯科医師会の在宅ケアステーションを通じて訪問歯科診療を依頼している。
・診療依頼の判断がつかない場合は、口腔ケアサポートチームの活動時にラウンドにて治療の要否を評価している。
・口腔ケアサポートチームのラウンドにて口腔ケアおよび治療要否の評価や看護師によるケアの助言を行っている。
＜外来患者の場合＞
・かかりつけ歯科医院との連携を行っている。
・かかりつけ歯科医院がない場合は、地区歯科医師会からの情報提供に基づき、対応可能な歯科医院と連携を行っている。</t>
  </si>
  <si>
    <t>医療安全管理養成研修</t>
    <rPh sb="0" eb="2">
      <t>イリョウ</t>
    </rPh>
    <rPh sb="2" eb="4">
      <t>アンゼン</t>
    </rPh>
    <rPh sb="4" eb="6">
      <t>カンリ</t>
    </rPh>
    <rPh sb="6" eb="8">
      <t>ヨウセイ</t>
    </rPh>
    <rPh sb="8" eb="10">
      <t>ケンシュウ</t>
    </rPh>
    <phoneticPr fontId="8"/>
  </si>
  <si>
    <t>髙久　史麿</t>
    <rPh sb="0" eb="1">
      <t>タカ</t>
    </rPh>
    <rPh sb="1" eb="2">
      <t>ヒサ</t>
    </rPh>
    <rPh sb="3" eb="4">
      <t>シ</t>
    </rPh>
    <rPh sb="4" eb="5">
      <t>マロ</t>
    </rPh>
    <phoneticPr fontId="8"/>
  </si>
  <si>
    <t>高橋　弘枝</t>
    <rPh sb="0" eb="2">
      <t>タカハシ</t>
    </rPh>
    <rPh sb="3" eb="4">
      <t>ヒロ</t>
    </rPh>
    <rPh sb="4" eb="5">
      <t>エダ</t>
    </rPh>
    <phoneticPr fontId="8"/>
  </si>
  <si>
    <t>常勤</t>
  </si>
  <si>
    <t>兼任（5割未満）</t>
  </si>
  <si>
    <t>専従（8割以上）</t>
  </si>
  <si>
    <t>公益財団法人　日本医療機能評価機構</t>
    <rPh sb="0" eb="2">
      <t>コウエキ</t>
    </rPh>
    <rPh sb="2" eb="6">
      <t>ザイダンホウジン</t>
    </rPh>
    <rPh sb="7" eb="9">
      <t>ニホン</t>
    </rPh>
    <rPh sb="9" eb="11">
      <t>イリョウ</t>
    </rPh>
    <rPh sb="11" eb="15">
      <t>キノウヒョウカ</t>
    </rPh>
    <rPh sb="15" eb="17">
      <t>キコウ</t>
    </rPh>
    <phoneticPr fontId="8"/>
  </si>
  <si>
    <t>R30507</t>
    <phoneticPr fontId="8"/>
  </si>
  <si>
    <t>（定めなし）</t>
    <rPh sb="1" eb="2">
      <t>サダ</t>
    </rPh>
    <phoneticPr fontId="8"/>
  </si>
  <si>
    <t>ストーマ外来</t>
    <rPh sb="4" eb="6">
      <t>ガイライ</t>
    </rPh>
    <phoneticPr fontId="8"/>
  </si>
  <si>
    <t>コロストーマとウロストーマ</t>
  </si>
  <si>
    <t>すべてのがん</t>
  </si>
  <si>
    <t>リンパ浮腫ケア外来</t>
    <rPh sb="3" eb="5">
      <t>フシュ</t>
    </rPh>
    <rPh sb="7" eb="9">
      <t>ガイライ</t>
    </rPh>
    <phoneticPr fontId="8"/>
  </si>
  <si>
    <t>各診療科</t>
    <rPh sb="0" eb="1">
      <t>カク</t>
    </rPh>
    <rPh sb="1" eb="4">
      <t>シンリョウカ</t>
    </rPh>
    <phoneticPr fontId="8"/>
  </si>
  <si>
    <t>対応している</t>
  </si>
  <si>
    <t>看護師</t>
    <rPh sb="0" eb="3">
      <t>カンゴシ</t>
    </rPh>
    <phoneticPr fontId="8"/>
  </si>
  <si>
    <t>認定看護分野緩和ケア</t>
    <phoneticPr fontId="8"/>
  </si>
  <si>
    <t>薬剤師</t>
    <rPh sb="0" eb="3">
      <t>ヤクザイシ</t>
    </rPh>
    <phoneticPr fontId="8"/>
  </si>
  <si>
    <t>臨床心理士</t>
    <rPh sb="0" eb="5">
      <t>リンショウシンリシ</t>
    </rPh>
    <phoneticPr fontId="8"/>
  </si>
  <si>
    <t>ＭＳＷ</t>
    <phoneticPr fontId="8"/>
  </si>
  <si>
    <t>がんのリハビリテーション終了</t>
    <rPh sb="12" eb="14">
      <t>シュウリョウ</t>
    </rPh>
    <phoneticPr fontId="8"/>
  </si>
  <si>
    <t>理学療法士</t>
    <rPh sb="0" eb="5">
      <t>リガクリョウホウシ</t>
    </rPh>
    <phoneticPr fontId="8"/>
  </si>
  <si>
    <t>現在マニュアルを整備し、院内で確認中</t>
    <rPh sb="0" eb="2">
      <t>ゲンザイ</t>
    </rPh>
    <rPh sb="8" eb="10">
      <t>セイビ</t>
    </rPh>
    <rPh sb="12" eb="14">
      <t>インナイ</t>
    </rPh>
    <rPh sb="15" eb="18">
      <t>カクニンチュウ</t>
    </rPh>
    <phoneticPr fontId="8"/>
  </si>
  <si>
    <t>hikoukai</t>
    <phoneticPr fontId="8"/>
  </si>
  <si>
    <t>-</t>
    <phoneticPr fontId="8"/>
  </si>
  <si>
    <t xml:space="preserve">非定期
</t>
    <rPh sb="0" eb="1">
      <t>ヒ</t>
    </rPh>
    <rPh sb="1" eb="3">
      <t>テイキ</t>
    </rPh>
    <phoneticPr fontId="8"/>
  </si>
  <si>
    <t>①過活動型せん妄に対する非経口薬物療法
➁不穏に対するアタラックスＰ＋セレネース点滴療法</t>
    <phoneticPr fontId="8"/>
  </si>
  <si>
    <t>大阪緩和ケア連携カンファレンス</t>
    <rPh sb="0" eb="2">
      <t>オオサカ</t>
    </rPh>
    <rPh sb="2" eb="4">
      <t>カンワ</t>
    </rPh>
    <rPh sb="6" eb="8">
      <t>レンケイ</t>
    </rPh>
    <phoneticPr fontId="8"/>
  </si>
  <si>
    <t>pta@nissay-hp.or.jp</t>
  </si>
  <si>
    <t>https://www.nissay-hp.or.jp</t>
  </si>
  <si>
    <t>大阪市（西部基本医療圏）</t>
  </si>
  <si>
    <t>医用原子力技術研究振興財団</t>
    <rPh sb="0" eb="2">
      <t>イヨウ</t>
    </rPh>
    <rPh sb="2" eb="5">
      <t>ゲンシリョク</t>
    </rPh>
    <rPh sb="5" eb="7">
      <t>ギジュツ</t>
    </rPh>
    <rPh sb="7" eb="9">
      <t>ケンキュウ</t>
    </rPh>
    <rPh sb="9" eb="11">
      <t>シンコウ</t>
    </rPh>
    <rPh sb="11" eb="13">
      <t>ザイダン</t>
    </rPh>
    <phoneticPr fontId="1"/>
  </si>
  <si>
    <t>無</t>
    <phoneticPr fontId="69"/>
  </si>
  <si>
    <t>nasi</t>
    <phoneticPr fontId="8"/>
  </si>
  <si>
    <t>当院における大腸癌手術の現状</t>
    <rPh sb="0" eb="2">
      <t>トウイン</t>
    </rPh>
    <rPh sb="6" eb="8">
      <t>ダイチョウ</t>
    </rPh>
    <rPh sb="8" eb="9">
      <t>ガン</t>
    </rPh>
    <rPh sb="9" eb="11">
      <t>シュジュツ</t>
    </rPh>
    <rPh sb="12" eb="14">
      <t>ゲンジョウ</t>
    </rPh>
    <phoneticPr fontId="8"/>
  </si>
  <si>
    <t>回／週</t>
  </si>
  <si>
    <t>苦痛スクリーニングや病棟看護師からの苦痛の把握し、各病棟看護師に苦痛症状の対応として薬剤の調整など直接介入を行っている。</t>
    <rPh sb="0" eb="2">
      <t>クツウ</t>
    </rPh>
    <rPh sb="10" eb="12">
      <t>ビョウトウ</t>
    </rPh>
    <rPh sb="12" eb="15">
      <t>カンゴシ</t>
    </rPh>
    <rPh sb="18" eb="20">
      <t>クツウ</t>
    </rPh>
    <rPh sb="21" eb="23">
      <t>ハアク</t>
    </rPh>
    <rPh sb="25" eb="28">
      <t>カクビョウトウ</t>
    </rPh>
    <rPh sb="28" eb="31">
      <t>カンゴシ</t>
    </rPh>
    <rPh sb="32" eb="34">
      <t>クツウ</t>
    </rPh>
    <rPh sb="34" eb="36">
      <t>ショウジョウ</t>
    </rPh>
    <rPh sb="37" eb="39">
      <t>タイオウ</t>
    </rPh>
    <rPh sb="42" eb="44">
      <t>ヤクザイ</t>
    </rPh>
    <rPh sb="45" eb="47">
      <t>チョウセイ</t>
    </rPh>
    <rPh sb="49" eb="51">
      <t>チョクセツ</t>
    </rPh>
    <rPh sb="51" eb="53">
      <t>カイニュウ</t>
    </rPh>
    <rPh sb="54" eb="55">
      <t>オコナ</t>
    </rPh>
    <phoneticPr fontId="8"/>
  </si>
  <si>
    <t>病棟ラウンド時に各病棟の看護師に対し、苦痛症状の把握についての指導。リンクナース会で緩和ケアに関する勉強会を行い、それを各病棟リンクナースが勉強会を行い指導している。</t>
    <rPh sb="0" eb="2">
      <t>ビョウトウ</t>
    </rPh>
    <rPh sb="6" eb="7">
      <t>ジ</t>
    </rPh>
    <rPh sb="8" eb="11">
      <t>カクビョウトウ</t>
    </rPh>
    <rPh sb="12" eb="15">
      <t>カンゴシ</t>
    </rPh>
    <rPh sb="16" eb="17">
      <t>タイ</t>
    </rPh>
    <rPh sb="19" eb="21">
      <t>クツウ</t>
    </rPh>
    <rPh sb="21" eb="23">
      <t>ショウジョウ</t>
    </rPh>
    <rPh sb="24" eb="26">
      <t>ハアク</t>
    </rPh>
    <rPh sb="31" eb="33">
      <t>シドウ</t>
    </rPh>
    <rPh sb="40" eb="41">
      <t>カイ</t>
    </rPh>
    <rPh sb="42" eb="44">
      <t>カンワ</t>
    </rPh>
    <rPh sb="47" eb="48">
      <t>カン</t>
    </rPh>
    <rPh sb="50" eb="53">
      <t>ベンキョウカイ</t>
    </rPh>
    <rPh sb="54" eb="55">
      <t>オコナ</t>
    </rPh>
    <rPh sb="60" eb="63">
      <t>カクビョウトウ</t>
    </rPh>
    <rPh sb="70" eb="73">
      <t>ベンキョウカイ</t>
    </rPh>
    <rPh sb="74" eb="75">
      <t>オコナ</t>
    </rPh>
    <rPh sb="76" eb="78">
      <t>シドウ</t>
    </rPh>
    <phoneticPr fontId="8"/>
  </si>
  <si>
    <t>専任</t>
  </si>
  <si>
    <t>初級認定試験・受験なし</t>
  </si>
  <si>
    <t>中級認定者</t>
  </si>
  <si>
    <t>臨床試験専用の窓口がある</t>
  </si>
  <si>
    <t>臨床研究管理室</t>
    <rPh sb="0" eb="4">
      <t>リンショウケンキュウ</t>
    </rPh>
    <rPh sb="4" eb="7">
      <t>カンリシツ</t>
    </rPh>
    <phoneticPr fontId="8"/>
  </si>
  <si>
    <t>https://www.nissay-hp.or.jp/nissay/chiken/</t>
  </si>
  <si>
    <t>治験専用の窓口がある</t>
  </si>
  <si>
    <t>適切な機関に紹介</t>
  </si>
  <si>
    <t>初回指定年月日：平成21年4月1日</t>
    <rPh sb="0" eb="2">
      <t>ショカイ</t>
    </rPh>
    <rPh sb="2" eb="4">
      <t>シテイ</t>
    </rPh>
    <rPh sb="4" eb="7">
      <t>ネンガッピ</t>
    </rPh>
    <rPh sb="8" eb="10">
      <t>ヘイセイ</t>
    </rPh>
    <rPh sb="12" eb="13">
      <t>ネン</t>
    </rPh>
    <rPh sb="14" eb="15">
      <t>ガツ</t>
    </rPh>
    <rPh sb="16" eb="17">
      <t>ニチ</t>
    </rPh>
    <phoneticPr fontId="8"/>
  </si>
  <si>
    <t>大阪市医療圏</t>
    <rPh sb="0" eb="3">
      <t>おおさかし</t>
    </rPh>
    <rPh sb="3" eb="6">
      <t>いりょうけん</t>
    </rPh>
    <phoneticPr fontId="8"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</si>
</sst>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3">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0" fontId="45" fillId="0" borderId="120" xfId="30" applyFont="1" applyBorder="1" applyAlignment="1" applyProtection="1">
      <alignment horizontal="left" vertical="center" wrapText="1"/>
      <protection locked="0"/>
    </xf>
    <xf numFmtId="0" fontId="45" fillId="0" borderId="123" xfId="30" applyFont="1" applyBorder="1" applyAlignment="1" applyProtection="1">
      <alignment horizontal="center" vertical="center"/>
      <protection locked="0"/>
    </xf>
    <xf numFmtId="0" fontId="45" fillId="0" borderId="124" xfId="30" applyFont="1" applyBorder="1" applyAlignment="1" applyProtection="1">
      <alignment horizontal="center" vertical="center"/>
      <protection locked="0"/>
    </xf>
    <xf numFmtId="0" fontId="45" fillId="0" borderId="123" xfId="30" applyFont="1" applyBorder="1" applyAlignment="1" applyProtection="1">
      <alignment horizontal="left" vertical="center" wrapText="1"/>
      <protection locked="0"/>
    </xf>
    <xf numFmtId="14" fontId="14" fillId="5" borderId="1" xfId="0" applyNumberFormat="1" applyFont="1" applyFill="1" applyBorder="1" applyAlignment="1" applyProtection="1">
      <alignment horizontal="center" vertical="center" wrapText="1"/>
      <protection locked="0"/>
    </xf>
    <xf numFmtId="14" fontId="31" fillId="14" borderId="1" xfId="9" applyNumberFormat="1" applyFill="1" applyBorder="1" applyAlignment="1" applyProtection="1">
      <alignment horizontal="left" vertical="center" wrapText="1" shrinkToFi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horizontal="left" vertical="center" wrapText="1" indent="1"/>
    </xf>
    <xf numFmtId="0" fontId="31" fillId="0" borderId="0" xfId="9" applyAlignment="1">
      <alignment vertical="center" wrapTex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0" fillId="0" borderId="0" xfId="0" applyAlignment="1">
      <alignment horizontal="righ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9" fillId="0" borderId="16" xfId="0" applyFont="1" applyBorder="1" applyAlignment="1">
      <alignment horizontal="left" vertical="center" wrapText="1"/>
    </xf>
    <xf numFmtId="0" fontId="68" fillId="0" borderId="0" xfId="0" applyFont="1" applyAlignment="1">
      <alignment horizontal="left" vertical="center"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7" fillId="10" borderId="182" xfId="0" applyFont="1" applyFill="1" applyBorder="1" applyAlignment="1">
      <alignment horizontal="center" vertical="center" wrapText="1"/>
    </xf>
    <xf numFmtId="0" fontId="103" fillId="10" borderId="0" xfId="0" applyFont="1" applyFill="1" applyAlignment="1">
      <alignment horizontal="center" vertical="center"/>
    </xf>
    <xf numFmtId="0" fontId="0" fillId="0" borderId="65" xfId="0" applyBorder="1" applyAlignment="1">
      <alignment horizontal="right" vertical="center" wrapText="1"/>
    </xf>
    <xf numFmtId="179" fontId="38" fillId="0" borderId="0" xfId="0" applyNumberFormat="1" applyFont="1" applyAlignment="1">
      <alignment horizontal="left" vertical="top"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45" fillId="15" borderId="198"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212" xfId="21"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3"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7" xfId="0" applyFont="1" applyFill="1" applyBorder="1" applyAlignment="1">
      <alignment horizontal="left" vertical="center" wrapText="1"/>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xf>
    <xf numFmtId="0" fontId="13" fillId="2" borderId="212" xfId="0" applyFont="1" applyFill="1" applyBorder="1" applyAlignment="1">
      <alignment horizontal="center" vertical="center"/>
    </xf>
    <xf numFmtId="0" fontId="13" fillId="2" borderId="43"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9"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38" fillId="25" borderId="0" xfId="0" applyFont="1" applyFill="1" applyAlignment="1">
      <alignment horizontal="left" vertical="top" wrapText="1"/>
    </xf>
    <xf numFmtId="0" fontId="13" fillId="30" borderId="1" xfId="0" applyFont="1" applyFill="1" applyBorder="1" applyAlignment="1" applyProtection="1">
      <alignment horizontal="center" vertical="center" wrapText="1"/>
      <protection locked="0"/>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wrapText="1"/>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0"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90"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02" xfId="0" applyFont="1" applyFill="1" applyBorder="1" applyAlignment="1">
      <alignment horizontal="left" vertical="center"/>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38" fillId="20" borderId="0" xfId="0" applyFont="1" applyFill="1" applyAlignment="1">
      <alignment horizontal="left" vertical="top" wrapText="1"/>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3"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0" fontId="68" fillId="48" borderId="233" xfId="9" applyFont="1" applyFill="1" applyBorder="1" applyAlignment="1">
      <alignment horizontal="center" vertical="center" wrapText="1" readingOrder="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0" borderId="1" xfId="9" applyFont="1" applyBorder="1" applyAlignment="1">
      <alignment horizontal="center" vertical="center" wrapText="1"/>
    </xf>
    <xf numFmtId="0" fontId="68" fillId="0" borderId="1" xfId="9" applyFont="1" applyBorder="1" applyAlignment="1">
      <alignment horizontal="center" vertical="center" wrapText="1" readingOrder="1"/>
    </xf>
    <xf numFmtId="184" fontId="68" fillId="0" borderId="1" xfId="9" applyNumberFormat="1"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108"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41" t="s">
        <v>6</v>
      </c>
      <c r="X5" s="1242"/>
      <c r="Y5" s="1242"/>
      <c r="Z5" s="1242"/>
      <c r="AA5" s="1242"/>
      <c r="AB5" s="1242"/>
      <c r="AC5" s="1243"/>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52.8">
      <c r="A7" s="57">
        <f>IFERROR(VLOOKUP($B7,$EI$7:$EJ$53,2,0),0)</f>
        <v>27</v>
      </c>
      <c r="B7" s="58" t="str">
        <f>+'様式4（全般事項）'!H17</f>
        <v>大阪府</v>
      </c>
      <c r="C7" s="58" t="str">
        <f>+'様式4（全般事項）'!H24</f>
        <v>大阪市（西部基本医療圏）</v>
      </c>
      <c r="D7" s="58" t="str">
        <f>+'様式4（全般事項）'!H23</f>
        <v>大阪市医療圏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1.4054054054054055</v>
      </c>
      <c r="X7" s="95">
        <f>'様式4（全般事項）'!R232/('様式4（全般事項）'!R231+'様式4（全般事項）'!R232)</f>
        <v>0.78873239436619713</v>
      </c>
      <c r="Y7" s="95">
        <f>'様式4（全般事項）'!R236/('様式4（全般事項）'!R235+'様式4（全般事項）'!R236)</f>
        <v>0.94444444444444442</v>
      </c>
      <c r="Z7" s="95">
        <f>'様式4（全般事項）'!R248/('様式4（全般事項）'!R247+'様式4（全般事項）'!R248)</f>
        <v>1</v>
      </c>
      <c r="AA7" s="95">
        <f>'様式4（全般事項）'!R252/('様式4（全般事項）'!R251+'様式4（全般事項）'!R252)</f>
        <v>0.66666666666666663</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6</v>
      </c>
      <c r="AH7" s="93">
        <f>'様式４(機能別)'!J153</f>
        <v>1</v>
      </c>
      <c r="AI7" s="93">
        <f>'様式４(機能別)'!J158</f>
        <v>3</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17</v>
      </c>
      <c r="AS7" s="93">
        <f>別紙11相談内容!C23</f>
        <v>14</v>
      </c>
      <c r="AT7" s="93" t="str">
        <f>別紙15専門外来!D22</f>
        <v>はい</v>
      </c>
      <c r="AU7" s="93" t="str">
        <f>別紙15専門外来!W15</f>
        <v>はい</v>
      </c>
      <c r="AV7" s="93">
        <f>'様式4（全般事項）'!R286+'様式4（全般事項）'!R287+'様式4（全般事項）'!R288</f>
        <v>293</v>
      </c>
      <c r="AW7" s="93">
        <f>別紙5緩和外来!U22</f>
        <v>8</v>
      </c>
      <c r="AX7" s="93">
        <f>別紙7地域緩和ケア連携体制!H7</f>
        <v>0</v>
      </c>
      <c r="AY7" s="93">
        <f>別紙5緩和外来!U25</f>
        <v>4</v>
      </c>
      <c r="AZ7" s="93" t="str">
        <f>別紙10患者の特性に応じた支援!Q16</f>
        <v>はい</v>
      </c>
      <c r="BA7" s="93">
        <f>別紙11相談内容!C22</f>
        <v>5</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975</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8</v>
      </c>
      <c r="BS7" s="93">
        <f>別紙11相談内容!F21</f>
        <v>27</v>
      </c>
      <c r="BT7" s="93">
        <f>別紙14連携協力体制!E7</f>
        <v>0</v>
      </c>
      <c r="BU7" s="93">
        <f>別紙11相談内容!C23</f>
        <v>14</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2"/>
  <cols>
    <col min="1" max="6" width="17.109375" style="426" customWidth="1"/>
    <col min="7" max="7" width="11.33203125" style="426" customWidth="1"/>
    <col min="8" max="8" width="2.44140625" style="426" customWidth="1"/>
    <col min="9" max="9" width="2.21875" style="426" hidden="1" customWidth="1"/>
    <col min="10" max="10" width="2.21875" style="426" customWidth="1"/>
    <col min="11" max="11" width="80.6640625" style="502" customWidth="1"/>
    <col min="12" max="16384" width="9" style="426"/>
  </cols>
  <sheetData>
    <row r="1" spans="1:11" ht="20.25" customHeight="1" thickBot="1">
      <c r="A1" s="1322" t="s">
        <v>864</v>
      </c>
      <c r="B1" s="1323"/>
      <c r="C1" s="1323"/>
      <c r="D1" s="1323"/>
      <c r="E1" s="1323"/>
      <c r="F1" s="1323"/>
      <c r="G1" s="1323"/>
      <c r="I1" s="53"/>
      <c r="J1" s="53"/>
      <c r="K1" s="160"/>
    </row>
    <row r="2" spans="1:11" ht="24.9" customHeight="1" thickTop="1" thickBot="1">
      <c r="A2" s="1268" t="s">
        <v>865</v>
      </c>
      <c r="B2" s="1268"/>
      <c r="C2" s="1268"/>
      <c r="D2" s="1268"/>
      <c r="E2" s="1268"/>
      <c r="F2" s="1268"/>
      <c r="G2" s="427" t="str">
        <f>IF(COUNTIF(I9,"×")=0,"入力済","未入力あり")</f>
        <v>入力済</v>
      </c>
      <c r="H2" s="1330"/>
      <c r="I2" s="53"/>
      <c r="J2" s="53"/>
      <c r="K2" s="332"/>
    </row>
    <row r="3" spans="1:11" ht="5.0999999999999996" customHeight="1" thickTop="1">
      <c r="H3" s="1330"/>
      <c r="I3" s="492"/>
      <c r="J3" s="492"/>
      <c r="K3" s="493"/>
    </row>
    <row r="4" spans="1:11" ht="20.100000000000001" customHeight="1">
      <c r="E4" s="494" t="s">
        <v>757</v>
      </c>
      <c r="F4" s="1325" t="str">
        <f>表紙!E2</f>
        <v>公益財団法人　日本生命済生会　日本生命病院</v>
      </c>
      <c r="G4" s="1326"/>
      <c r="H4" s="1330"/>
      <c r="I4" s="492"/>
      <c r="J4" s="492"/>
      <c r="K4" s="495" t="s">
        <v>234</v>
      </c>
    </row>
    <row r="5" spans="1:11" ht="20.100000000000001" customHeight="1">
      <c r="E5" s="1139" t="s">
        <v>911</v>
      </c>
      <c r="F5" s="454" t="str">
        <f>別紙1未充足要件!E5</f>
        <v>令和６年９月１日時点</v>
      </c>
      <c r="G5"/>
      <c r="K5" s="161"/>
    </row>
    <row r="6" spans="1:11" ht="38.25" customHeight="1">
      <c r="A6" s="1384" t="s">
        <v>1641</v>
      </c>
      <c r="B6" s="1384"/>
      <c r="C6" s="1384"/>
      <c r="D6" s="1384"/>
      <c r="E6" s="1384"/>
      <c r="F6" s="1384"/>
      <c r="G6" s="1384"/>
      <c r="K6" s="161"/>
    </row>
    <row r="7" spans="1:11">
      <c r="A7" s="496" t="s">
        <v>866</v>
      </c>
      <c r="B7" s="497"/>
      <c r="C7" s="497"/>
      <c r="D7" s="497"/>
      <c r="E7" s="497"/>
      <c r="F7" s="497"/>
      <c r="G7" s="498"/>
      <c r="K7" s="161"/>
    </row>
    <row r="8" spans="1:11" ht="13.8" thickBot="1">
      <c r="A8" s="499" t="s">
        <v>867</v>
      </c>
      <c r="B8" s="500"/>
      <c r="C8" s="500"/>
      <c r="D8" s="500"/>
      <c r="E8" s="500"/>
      <c r="F8" s="500"/>
      <c r="G8" s="501"/>
      <c r="K8" s="161"/>
    </row>
    <row r="9" spans="1:11">
      <c r="A9" s="1375" t="s">
        <v>1810</v>
      </c>
      <c r="B9" s="1376"/>
      <c r="C9" s="1376"/>
      <c r="D9" s="1376"/>
      <c r="E9" s="1376"/>
      <c r="F9" s="1376"/>
      <c r="G9" s="1377"/>
      <c r="I9" s="8" t="str">
        <f>IF(A9&lt;&gt;"","○","×")</f>
        <v>○</v>
      </c>
      <c r="J9" s="8"/>
      <c r="K9" s="161"/>
    </row>
    <row r="10" spans="1:11">
      <c r="A10" s="1378"/>
      <c r="B10" s="1379"/>
      <c r="C10" s="1379"/>
      <c r="D10" s="1379"/>
      <c r="E10" s="1379"/>
      <c r="F10" s="1379"/>
      <c r="G10" s="1380"/>
      <c r="K10" s="161"/>
    </row>
    <row r="11" spans="1:11">
      <c r="A11" s="1378"/>
      <c r="B11" s="1379"/>
      <c r="C11" s="1379"/>
      <c r="D11" s="1379"/>
      <c r="E11" s="1379"/>
      <c r="F11" s="1379"/>
      <c r="G11" s="1380"/>
      <c r="K11" s="161"/>
    </row>
    <row r="12" spans="1:11">
      <c r="A12" s="1378"/>
      <c r="B12" s="1379"/>
      <c r="C12" s="1379"/>
      <c r="D12" s="1379"/>
      <c r="E12" s="1379"/>
      <c r="F12" s="1379"/>
      <c r="G12" s="1380"/>
      <c r="K12" s="161"/>
    </row>
    <row r="13" spans="1:11">
      <c r="A13" s="1378"/>
      <c r="B13" s="1379"/>
      <c r="C13" s="1379"/>
      <c r="D13" s="1379"/>
      <c r="E13" s="1379"/>
      <c r="F13" s="1379"/>
      <c r="G13" s="1380"/>
      <c r="K13" s="161"/>
    </row>
    <row r="14" spans="1:11">
      <c r="A14" s="1378"/>
      <c r="B14" s="1379"/>
      <c r="C14" s="1379"/>
      <c r="D14" s="1379"/>
      <c r="E14" s="1379"/>
      <c r="F14" s="1379"/>
      <c r="G14" s="1380"/>
      <c r="K14" s="161"/>
    </row>
    <row r="15" spans="1:11">
      <c r="A15" s="1378"/>
      <c r="B15" s="1379"/>
      <c r="C15" s="1379"/>
      <c r="D15" s="1379"/>
      <c r="E15" s="1379"/>
      <c r="F15" s="1379"/>
      <c r="G15" s="1380"/>
      <c r="K15" s="161"/>
    </row>
    <row r="16" spans="1:11">
      <c r="A16" s="1378"/>
      <c r="B16" s="1379"/>
      <c r="C16" s="1379"/>
      <c r="D16" s="1379"/>
      <c r="E16" s="1379"/>
      <c r="F16" s="1379"/>
      <c r="G16" s="1380"/>
      <c r="K16" s="161"/>
    </row>
    <row r="17" spans="1:11" ht="13.8" thickBot="1">
      <c r="A17" s="1381"/>
      <c r="B17" s="1382"/>
      <c r="C17" s="1382"/>
      <c r="D17" s="1382"/>
      <c r="E17" s="1382"/>
      <c r="F17" s="1382"/>
      <c r="G17" s="1383"/>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7" zoomScaleNormal="100" zoomScaleSheetLayoutView="100" workbookViewId="0">
      <selection activeCell="AB20" sqref="AB20"/>
    </sheetView>
  </sheetViews>
  <sheetFormatPr defaultColWidth="9" defaultRowHeight="12"/>
  <cols>
    <col min="1" max="1" width="4.109375" style="8" customWidth="1"/>
    <col min="2" max="2" width="26.6640625" style="8" customWidth="1"/>
    <col min="3" max="3" width="10.6640625" style="8" customWidth="1"/>
    <col min="4" max="4" width="5.6640625" style="8" customWidth="1"/>
    <col min="5" max="5" width="28.77734375" style="8" customWidth="1"/>
    <col min="6" max="14" width="2.6640625" style="8" customWidth="1"/>
    <col min="15" max="15" width="1.6640625" style="8" customWidth="1"/>
    <col min="16" max="23" width="2.6640625" style="8" customWidth="1"/>
    <col min="24" max="24" width="10.109375" style="8" customWidth="1"/>
    <col min="25" max="25" width="2.21875" style="8" customWidth="1"/>
    <col min="26" max="26" width="2.21875" style="8" hidden="1" customWidth="1"/>
    <col min="27" max="27" width="2.21875" style="8" customWidth="1"/>
    <col min="28" max="28" width="80.6640625" style="106" customWidth="1"/>
    <col min="29" max="30" width="0" style="8" hidden="1" customWidth="1"/>
    <col min="31" max="16384" width="9" style="8"/>
  </cols>
  <sheetData>
    <row r="1" spans="1:28" ht="15.9" customHeight="1" thickBot="1">
      <c r="A1" s="1323" t="s">
        <v>868</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53"/>
      <c r="Z1" s="53"/>
      <c r="AA1" s="53"/>
    </row>
    <row r="2" spans="1:28" ht="24.9" customHeight="1" thickTop="1" thickBot="1">
      <c r="A2" s="1435" t="s">
        <v>865</v>
      </c>
      <c r="B2" s="1435"/>
      <c r="C2" s="1435"/>
      <c r="D2" s="1435"/>
      <c r="E2" s="1435"/>
      <c r="F2" s="1435"/>
      <c r="G2" s="1435"/>
      <c r="H2" s="1435"/>
      <c r="I2" s="1435"/>
      <c r="J2" s="1435"/>
      <c r="K2" s="1435"/>
      <c r="L2" s="1435"/>
      <c r="M2" s="1435"/>
      <c r="N2" s="1435"/>
      <c r="O2" s="1435"/>
      <c r="P2" s="1435"/>
      <c r="Q2" s="1435"/>
      <c r="R2" s="1435"/>
      <c r="S2" s="1435"/>
      <c r="T2" s="1435"/>
      <c r="U2" s="1435"/>
      <c r="V2" s="1435"/>
      <c r="W2" s="1436"/>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437" t="str">
        <f>表紙!E2</f>
        <v>公益財団法人　日本生命済生会　日本生命病院</v>
      </c>
      <c r="G4" s="1437"/>
      <c r="H4" s="1437"/>
      <c r="I4" s="1437"/>
      <c r="J4" s="1437"/>
      <c r="K4" s="1437"/>
      <c r="L4" s="1437"/>
      <c r="M4" s="1438"/>
      <c r="N4" s="1438"/>
      <c r="O4" s="1438"/>
      <c r="P4" s="1438"/>
      <c r="Q4" s="1438"/>
      <c r="R4" s="1438"/>
      <c r="S4" s="1438"/>
      <c r="T4" s="1438"/>
      <c r="U4" s="1438"/>
      <c r="V4" s="1438"/>
      <c r="W4" s="1438"/>
      <c r="X4" s="1438"/>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1805</v>
      </c>
      <c r="Z6" s="8" t="str">
        <f>IF(X6&lt;&gt;"","○","×")</f>
        <v>○</v>
      </c>
      <c r="AB6" s="163"/>
    </row>
    <row r="7" spans="1:28" ht="27" customHeight="1" thickBot="1">
      <c r="A7" s="505">
        <v>2</v>
      </c>
      <c r="B7" s="1439" t="s">
        <v>870</v>
      </c>
      <c r="C7" s="1440"/>
      <c r="D7" s="1440"/>
      <c r="E7" s="1320" t="s">
        <v>1811</v>
      </c>
      <c r="F7" s="1397"/>
      <c r="G7" s="1397"/>
      <c r="H7" s="1397"/>
      <c r="I7" s="1397"/>
      <c r="J7" s="1397"/>
      <c r="K7" s="1397"/>
      <c r="L7" s="1397"/>
      <c r="M7" s="1397"/>
      <c r="N7" s="1397"/>
      <c r="O7" s="1397"/>
      <c r="P7" s="1397"/>
      <c r="Q7" s="1397"/>
      <c r="R7" s="1397"/>
      <c r="S7" s="1397"/>
      <c r="T7" s="1397"/>
      <c r="U7" s="1397"/>
      <c r="V7" s="1397"/>
      <c r="W7" s="1397"/>
      <c r="X7" s="1321"/>
      <c r="Z7" s="8" t="str">
        <f>IF(AND($X$6="はい",E7=""),"×","○")</f>
        <v>○</v>
      </c>
      <c r="AB7" s="74"/>
    </row>
    <row r="8" spans="1:28" ht="27" customHeight="1" thickBot="1">
      <c r="A8" s="505">
        <v>3</v>
      </c>
      <c r="B8" s="1429" t="s">
        <v>871</v>
      </c>
      <c r="C8" s="1430"/>
      <c r="D8" s="1430"/>
      <c r="E8" s="1320" t="s">
        <v>1812</v>
      </c>
      <c r="F8" s="1397"/>
      <c r="G8" s="1397"/>
      <c r="H8" s="1397"/>
      <c r="I8" s="1397"/>
      <c r="J8" s="1397"/>
      <c r="K8" s="1397"/>
      <c r="L8" s="1397"/>
      <c r="M8" s="1397"/>
      <c r="N8" s="1397"/>
      <c r="O8" s="1397"/>
      <c r="P8" s="1397"/>
      <c r="Q8" s="1397"/>
      <c r="R8" s="1397"/>
      <c r="S8" s="1397"/>
      <c r="T8" s="1397"/>
      <c r="U8" s="1397"/>
      <c r="V8" s="1397"/>
      <c r="W8" s="1397"/>
      <c r="X8" s="1321"/>
      <c r="Z8" s="8" t="str">
        <f>IF(AND($X$6="はい",E8=""),"×","○")</f>
        <v>○</v>
      </c>
      <c r="AB8" s="74"/>
    </row>
    <row r="9" spans="1:28" ht="27" customHeight="1" thickBot="1">
      <c r="A9" s="505">
        <v>4</v>
      </c>
      <c r="B9" s="1431" t="s">
        <v>872</v>
      </c>
      <c r="C9" s="1432"/>
      <c r="D9" s="1432"/>
      <c r="E9" s="1320">
        <v>5</v>
      </c>
      <c r="F9" s="1397"/>
      <c r="G9" s="1397"/>
      <c r="H9" s="1397"/>
      <c r="I9" s="1397"/>
      <c r="J9" s="1397"/>
      <c r="K9" s="1397"/>
      <c r="L9" s="1397"/>
      <c r="M9" s="1397"/>
      <c r="N9" s="1397"/>
      <c r="O9" s="1397"/>
      <c r="P9" s="1397"/>
      <c r="Q9" s="1397"/>
      <c r="R9" s="1397"/>
      <c r="S9" s="1397"/>
      <c r="T9" s="1397"/>
      <c r="U9" s="1397"/>
      <c r="V9" s="1397"/>
      <c r="W9" s="1397"/>
      <c r="X9" s="1321"/>
      <c r="Z9" s="8" t="str">
        <f>IF(AND($X$6="はい",E9=""),"×","○")</f>
        <v>○</v>
      </c>
      <c r="AB9" s="74"/>
    </row>
    <row r="10" spans="1:28" ht="54" customHeight="1" thickBot="1">
      <c r="A10" s="505">
        <v>5</v>
      </c>
      <c r="B10" s="1433" t="s">
        <v>873</v>
      </c>
      <c r="C10" s="1434"/>
      <c r="D10" s="1434"/>
      <c r="E10" s="1320" t="s">
        <v>1813</v>
      </c>
      <c r="F10" s="1397"/>
      <c r="G10" s="1397"/>
      <c r="H10" s="1397"/>
      <c r="I10" s="1397"/>
      <c r="J10" s="1397"/>
      <c r="K10" s="1397"/>
      <c r="L10" s="1397"/>
      <c r="M10" s="1397"/>
      <c r="N10" s="1397"/>
      <c r="O10" s="1397"/>
      <c r="P10" s="1397"/>
      <c r="Q10" s="1397"/>
      <c r="R10" s="1397"/>
      <c r="S10" s="1397"/>
      <c r="T10" s="1397"/>
      <c r="U10" s="1397"/>
      <c r="V10" s="1397"/>
      <c r="W10" s="1397"/>
      <c r="X10" s="1321"/>
      <c r="Z10" s="8" t="str">
        <f>IF(AND($X$6="はい",E10=""),"×","○")</f>
        <v>○</v>
      </c>
      <c r="AB10" s="74"/>
    </row>
    <row r="11" spans="1:28" ht="26.25" customHeight="1" thickBot="1">
      <c r="A11" s="1411">
        <v>6</v>
      </c>
      <c r="B11" s="1413" t="s">
        <v>874</v>
      </c>
      <c r="C11" s="1414"/>
      <c r="D11" s="509" t="s">
        <v>875</v>
      </c>
      <c r="E11" s="1417" t="s">
        <v>1812</v>
      </c>
      <c r="F11" s="1418"/>
      <c r="G11" s="1418"/>
      <c r="H11" s="1418"/>
      <c r="I11" s="1418"/>
      <c r="J11" s="1418"/>
      <c r="K11" s="1418"/>
      <c r="L11" s="1418"/>
      <c r="M11" s="1418"/>
      <c r="N11" s="1418"/>
      <c r="O11" s="1418"/>
      <c r="P11" s="1418"/>
      <c r="Q11" s="1418"/>
      <c r="R11" s="1418"/>
      <c r="S11" s="1418"/>
      <c r="T11" s="1418"/>
      <c r="U11" s="1418"/>
      <c r="V11" s="1418"/>
      <c r="W11" s="1418"/>
      <c r="X11" s="1419"/>
      <c r="AB11" s="74"/>
    </row>
    <row r="12" spans="1:28" ht="54" customHeight="1" thickBot="1">
      <c r="A12" s="1412"/>
      <c r="B12" s="1415"/>
      <c r="C12" s="1416"/>
      <c r="D12" s="510" t="s">
        <v>876</v>
      </c>
      <c r="E12" s="1320" t="s">
        <v>1814</v>
      </c>
      <c r="F12" s="1397"/>
      <c r="G12" s="1397"/>
      <c r="H12" s="1397"/>
      <c r="I12" s="1397"/>
      <c r="J12" s="1397"/>
      <c r="K12" s="1397"/>
      <c r="L12" s="1397"/>
      <c r="M12" s="1397"/>
      <c r="N12" s="1397"/>
      <c r="O12" s="1397"/>
      <c r="P12" s="1397"/>
      <c r="Q12" s="1397"/>
      <c r="R12" s="1397"/>
      <c r="S12" s="1397"/>
      <c r="T12" s="1397"/>
      <c r="U12" s="1397"/>
      <c r="V12" s="1397"/>
      <c r="W12" s="1397"/>
      <c r="X12" s="1321"/>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1805</v>
      </c>
      <c r="Z13" s="8" t="str">
        <f>IF(AND($X$6="はい",X13=""),"×","○")</f>
        <v>○</v>
      </c>
      <c r="AB13" s="74"/>
    </row>
    <row r="14" spans="1:28" ht="24" customHeight="1" thickBot="1">
      <c r="A14" s="1391">
        <v>8</v>
      </c>
      <c r="B14" s="1420" t="s">
        <v>878</v>
      </c>
      <c r="C14" s="1421"/>
      <c r="D14" s="1421"/>
      <c r="E14" s="1422"/>
      <c r="F14" s="1422"/>
      <c r="G14" s="1422"/>
      <c r="H14" s="1422"/>
      <c r="I14" s="1422"/>
      <c r="J14" s="1422"/>
      <c r="K14" s="1422"/>
      <c r="L14" s="1422"/>
      <c r="M14" s="1422"/>
      <c r="N14" s="1422"/>
      <c r="O14" s="1422"/>
      <c r="P14" s="1422"/>
      <c r="Q14" s="1422"/>
      <c r="R14" s="1422"/>
      <c r="S14" s="1422"/>
      <c r="T14" s="1422"/>
      <c r="U14" s="1422"/>
      <c r="V14" s="1422"/>
      <c r="W14" s="1422"/>
      <c r="X14" s="37" t="s">
        <v>1805</v>
      </c>
      <c r="Z14" s="8" t="str">
        <f>IF(AND($X$6="はい",X14=""),"×","○")</f>
        <v>○</v>
      </c>
      <c r="AB14" s="74"/>
    </row>
    <row r="15" spans="1:28" ht="24" customHeight="1" thickBot="1">
      <c r="A15" s="1392"/>
      <c r="B15" s="1394" t="s">
        <v>879</v>
      </c>
      <c r="C15" s="1395"/>
      <c r="D15" s="1395"/>
      <c r="E15" s="1320" t="s">
        <v>1815</v>
      </c>
      <c r="F15" s="1397"/>
      <c r="G15" s="1397"/>
      <c r="H15" s="1397"/>
      <c r="I15" s="1397"/>
      <c r="J15" s="1397"/>
      <c r="K15" s="1397"/>
      <c r="L15" s="1397"/>
      <c r="M15" s="1397"/>
      <c r="N15" s="1397"/>
      <c r="O15" s="1397"/>
      <c r="P15" s="1397"/>
      <c r="Q15" s="1397"/>
      <c r="R15" s="1397"/>
      <c r="S15" s="1397"/>
      <c r="T15" s="1397"/>
      <c r="U15" s="1397"/>
      <c r="V15" s="1397"/>
      <c r="W15" s="1397"/>
      <c r="X15" s="1321"/>
      <c r="Z15" s="8" t="str">
        <f>IF(AND($X$14="はい",E15=""),"×","○")</f>
        <v>○</v>
      </c>
      <c r="AB15" s="74"/>
    </row>
    <row r="16" spans="1:28" ht="24" customHeight="1" thickBot="1">
      <c r="A16" s="1393"/>
      <c r="B16" s="1398" t="s">
        <v>880</v>
      </c>
      <c r="C16" s="1399"/>
      <c r="D16" s="1400"/>
      <c r="E16" s="1423" t="s">
        <v>1816</v>
      </c>
      <c r="F16" s="1424"/>
      <c r="G16" s="1424"/>
      <c r="H16" s="1424"/>
      <c r="I16" s="1424"/>
      <c r="J16" s="1424"/>
      <c r="K16" s="1424"/>
      <c r="L16" s="1424"/>
      <c r="M16" s="1424"/>
      <c r="N16" s="1425"/>
      <c r="O16" s="1426" t="s">
        <v>881</v>
      </c>
      <c r="P16" s="1427"/>
      <c r="Q16" s="1428"/>
      <c r="R16" s="1408"/>
      <c r="S16" s="1409"/>
      <c r="T16" s="1409"/>
      <c r="U16" s="1409"/>
      <c r="V16" s="1409"/>
      <c r="W16" s="1409"/>
      <c r="X16" s="1410"/>
      <c r="Z16" s="8" t="str">
        <f>IF(AND($X$14="はい",E16=""),"×","○")</f>
        <v>○</v>
      </c>
      <c r="AB16" s="74"/>
    </row>
    <row r="17" spans="1:30" ht="24" customHeight="1" thickBot="1">
      <c r="A17" s="1391">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1805</v>
      </c>
      <c r="Z17" s="8" t="str">
        <f>IF(AND($X$6="はい",X17=""),"×","○")</f>
        <v>○</v>
      </c>
      <c r="AB17" s="74"/>
    </row>
    <row r="18" spans="1:30" ht="24" customHeight="1" thickBot="1">
      <c r="A18" s="1392"/>
      <c r="B18" s="1394" t="s">
        <v>879</v>
      </c>
      <c r="C18" s="1395"/>
      <c r="D18" s="1396"/>
      <c r="E18" s="1320" t="s">
        <v>1817</v>
      </c>
      <c r="F18" s="1397"/>
      <c r="G18" s="1397"/>
      <c r="H18" s="1397"/>
      <c r="I18" s="1397"/>
      <c r="J18" s="1397"/>
      <c r="K18" s="1397"/>
      <c r="L18" s="1397"/>
      <c r="M18" s="1397"/>
      <c r="N18" s="1397"/>
      <c r="O18" s="1397"/>
      <c r="P18" s="1397"/>
      <c r="Q18" s="1397"/>
      <c r="R18" s="1397"/>
      <c r="S18" s="1397"/>
      <c r="T18" s="1397"/>
      <c r="U18" s="1397"/>
      <c r="V18" s="1397"/>
      <c r="W18" s="1397"/>
      <c r="X18" s="1321"/>
      <c r="Z18" s="8" t="str">
        <f>IF(AND($X$17="はい",E18=""),"×","○")</f>
        <v>○</v>
      </c>
      <c r="AB18" s="74"/>
    </row>
    <row r="19" spans="1:30" ht="24" customHeight="1" thickBot="1">
      <c r="A19" s="1392"/>
      <c r="B19" s="1398" t="s">
        <v>880</v>
      </c>
      <c r="C19" s="1399"/>
      <c r="D19" s="1400"/>
      <c r="E19" s="1401" t="s">
        <v>1816</v>
      </c>
      <c r="F19" s="1402"/>
      <c r="G19" s="1402"/>
      <c r="H19" s="1402"/>
      <c r="I19" s="1402"/>
      <c r="J19" s="1402"/>
      <c r="K19" s="1402"/>
      <c r="L19" s="1402"/>
      <c r="M19" s="1402"/>
      <c r="N19" s="1403"/>
      <c r="O19" s="1404" t="s">
        <v>881</v>
      </c>
      <c r="P19" s="1404"/>
      <c r="Q19" s="1404"/>
      <c r="R19" s="1408"/>
      <c r="S19" s="1409"/>
      <c r="T19" s="1409"/>
      <c r="U19" s="1409"/>
      <c r="V19" s="1409"/>
      <c r="W19" s="1409"/>
      <c r="X19" s="1410"/>
      <c r="Z19" s="8" t="str">
        <f>IF(AND($X$17="はい",E19=""),"×","○")</f>
        <v>○</v>
      </c>
      <c r="AB19" s="74"/>
    </row>
    <row r="20" spans="1:30" ht="24" customHeight="1" thickBot="1">
      <c r="A20" s="1393"/>
      <c r="B20" s="1405" t="s">
        <v>883</v>
      </c>
      <c r="C20" s="1406"/>
      <c r="D20" s="1407"/>
      <c r="E20" s="1320">
        <v>9</v>
      </c>
      <c r="F20" s="1397"/>
      <c r="G20" s="1397"/>
      <c r="H20" s="1397"/>
      <c r="I20" s="1397"/>
      <c r="J20" s="1397"/>
      <c r="K20" s="1397"/>
      <c r="L20" s="1397"/>
      <c r="M20" s="1397"/>
      <c r="N20" s="1397"/>
      <c r="O20" s="1397"/>
      <c r="P20" s="1397"/>
      <c r="Q20" s="1397"/>
      <c r="R20" s="1397"/>
      <c r="S20" s="1397"/>
      <c r="T20" s="1397"/>
      <c r="U20" s="1397"/>
      <c r="V20" s="1397"/>
      <c r="W20" s="1397"/>
      <c r="X20" s="1321"/>
      <c r="AB20" s="74"/>
    </row>
    <row r="21" spans="1:30" ht="24" customHeight="1">
      <c r="A21" s="1385">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386"/>
      <c r="B22" s="523"/>
      <c r="C22" s="524"/>
      <c r="D22" s="525"/>
      <c r="E22" s="526" t="s">
        <v>885</v>
      </c>
      <c r="F22" s="527"/>
      <c r="G22" s="527"/>
      <c r="H22" s="527"/>
      <c r="I22" s="527"/>
      <c r="J22" s="527"/>
      <c r="K22" s="527"/>
      <c r="L22" s="527"/>
      <c r="M22" s="527"/>
      <c r="N22" s="527"/>
      <c r="O22" s="527"/>
      <c r="P22" s="527"/>
      <c r="Q22" s="527"/>
      <c r="R22" s="527"/>
      <c r="S22" s="527"/>
      <c r="T22" s="528"/>
      <c r="U22" s="1388">
        <v>8</v>
      </c>
      <c r="V22" s="1389"/>
      <c r="W22" s="1390"/>
      <c r="X22" s="529" t="s">
        <v>379</v>
      </c>
      <c r="Y22" s="530"/>
      <c r="Z22" s="8" t="str">
        <f>IF(AND($X$6="はい",U22=""),"×","○")</f>
        <v>○</v>
      </c>
      <c r="AB22" s="74"/>
      <c r="AC22" s="531">
        <v>0</v>
      </c>
      <c r="AD22" s="531">
        <v>330</v>
      </c>
    </row>
    <row r="23" spans="1:30" ht="24" customHeight="1" thickBot="1">
      <c r="A23" s="1386"/>
      <c r="B23" s="523" t="s">
        <v>205</v>
      </c>
      <c r="C23" s="524"/>
      <c r="D23" s="525"/>
      <c r="E23" s="532" t="s">
        <v>886</v>
      </c>
      <c r="F23" s="533"/>
      <c r="G23" s="533"/>
      <c r="H23" s="533"/>
      <c r="I23" s="533"/>
      <c r="J23" s="533"/>
      <c r="K23" s="533"/>
      <c r="L23" s="533"/>
      <c r="M23" s="533"/>
      <c r="N23" s="533"/>
      <c r="O23" s="533"/>
      <c r="P23" s="533"/>
      <c r="Q23" s="533"/>
      <c r="R23" s="533"/>
      <c r="S23" s="533"/>
      <c r="T23" s="534"/>
      <c r="U23" s="1388">
        <v>255</v>
      </c>
      <c r="V23" s="1389"/>
      <c r="W23" s="1390"/>
      <c r="X23" s="529" t="s">
        <v>379</v>
      </c>
      <c r="Z23" s="8" t="str">
        <f>IF(AND($X$6="はい",U23=""),"×","○")</f>
        <v>○</v>
      </c>
      <c r="AB23" s="74"/>
      <c r="AC23" s="531">
        <v>0</v>
      </c>
      <c r="AD23" s="531">
        <v>2400</v>
      </c>
    </row>
    <row r="24" spans="1:30" ht="24" customHeight="1">
      <c r="A24" s="1386"/>
      <c r="B24" s="535" t="s">
        <v>1792</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386"/>
      <c r="B25" s="523"/>
      <c r="C25" s="524"/>
      <c r="D25" s="525"/>
      <c r="E25" s="537" t="s">
        <v>888</v>
      </c>
      <c r="F25" s="538"/>
      <c r="G25" s="538"/>
      <c r="H25" s="538"/>
      <c r="I25" s="538"/>
      <c r="J25" s="538"/>
      <c r="K25" s="538"/>
      <c r="L25" s="538"/>
      <c r="M25" s="538"/>
      <c r="N25" s="538"/>
      <c r="O25" s="538"/>
      <c r="P25" s="538"/>
      <c r="Q25" s="538"/>
      <c r="R25" s="538"/>
      <c r="S25" s="538"/>
      <c r="T25" s="539"/>
      <c r="U25" s="1388">
        <v>4</v>
      </c>
      <c r="V25" s="1389"/>
      <c r="W25" s="1390"/>
      <c r="X25" s="529" t="s">
        <v>379</v>
      </c>
      <c r="Z25" s="8" t="str">
        <f t="shared" ref="Z25:Z26" si="0">IF(AND($X$6="はい",U25=""),"×","○")</f>
        <v>○</v>
      </c>
      <c r="AB25" s="74"/>
      <c r="AC25" s="531">
        <v>0</v>
      </c>
      <c r="AD25" s="540">
        <v>500</v>
      </c>
    </row>
    <row r="26" spans="1:30" ht="24" customHeight="1" thickBot="1">
      <c r="A26" s="1387"/>
      <c r="B26" s="541"/>
      <c r="C26" s="542"/>
      <c r="D26" s="543"/>
      <c r="E26" s="532" t="s">
        <v>889</v>
      </c>
      <c r="F26" s="544"/>
      <c r="G26" s="544"/>
      <c r="H26" s="544"/>
      <c r="I26" s="544"/>
      <c r="J26" s="544"/>
      <c r="K26" s="544"/>
      <c r="L26" s="544"/>
      <c r="M26" s="544"/>
      <c r="N26" s="544"/>
      <c r="O26" s="544"/>
      <c r="P26" s="544"/>
      <c r="Q26" s="544"/>
      <c r="R26" s="544"/>
      <c r="S26" s="544"/>
      <c r="T26" s="545"/>
      <c r="U26" s="1388">
        <v>16</v>
      </c>
      <c r="V26" s="1389"/>
      <c r="W26" s="1390"/>
      <c r="X26" s="546" t="s">
        <v>379</v>
      </c>
      <c r="Z26" s="8" t="str">
        <f t="shared" si="0"/>
        <v>○</v>
      </c>
      <c r="AB26" s="151"/>
      <c r="AC26" s="531">
        <v>0</v>
      </c>
      <c r="AD26" s="54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5" sqref="AC15"/>
    </sheetView>
  </sheetViews>
  <sheetFormatPr defaultColWidth="9" defaultRowHeight="12"/>
  <cols>
    <col min="1" max="1" width="3.6640625" style="8" customWidth="1"/>
    <col min="2" max="2" width="8.6640625" style="8" customWidth="1"/>
    <col min="3" max="3" width="5.6640625" style="8" customWidth="1"/>
    <col min="4" max="4" width="6.6640625" style="8" customWidth="1"/>
    <col min="5" max="6" width="9" style="8"/>
    <col min="7" max="15" width="2.6640625" style="8" customWidth="1"/>
    <col min="16" max="16" width="1.6640625" style="8" customWidth="1"/>
    <col min="17" max="24" width="2.6640625" style="8" customWidth="1"/>
    <col min="25" max="25" width="10" style="8" customWidth="1"/>
    <col min="26" max="26" width="2.21875" style="8" customWidth="1"/>
    <col min="27" max="27" width="2.21875" style="8" hidden="1" customWidth="1"/>
    <col min="28" max="28" width="2.21875" style="8" customWidth="1"/>
    <col min="29" max="29" width="80.6640625" style="504" customWidth="1"/>
    <col min="30" max="31" width="0" style="8" hidden="1" customWidth="1"/>
    <col min="32" max="16384" width="9" style="8"/>
  </cols>
  <sheetData>
    <row r="1" spans="1:31" ht="15.9" customHeight="1" thickBot="1">
      <c r="A1" s="1323" t="s">
        <v>890</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53"/>
      <c r="AA1" s="97"/>
      <c r="AB1" s="53"/>
      <c r="AC1" s="17"/>
    </row>
    <row r="2" spans="1:31" ht="24.9" customHeight="1" thickTop="1" thickBot="1">
      <c r="A2" s="1435" t="s">
        <v>865</v>
      </c>
      <c r="B2" s="1435"/>
      <c r="C2" s="1435"/>
      <c r="D2" s="1435"/>
      <c r="E2" s="1435"/>
      <c r="F2" s="1435"/>
      <c r="G2" s="1435"/>
      <c r="H2" s="1435"/>
      <c r="I2" s="1435"/>
      <c r="J2" s="1435"/>
      <c r="K2" s="1435"/>
      <c r="L2" s="1435"/>
      <c r="M2" s="1435"/>
      <c r="N2" s="1435"/>
      <c r="O2" s="1435"/>
      <c r="P2" s="1435"/>
      <c r="Q2" s="1435"/>
      <c r="R2" s="1435"/>
      <c r="S2" s="1435"/>
      <c r="T2" s="1435"/>
      <c r="U2" s="1435"/>
      <c r="V2" s="1435"/>
      <c r="W2" s="1435"/>
      <c r="X2" s="1436"/>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533" t="str">
        <f>表紙!E2</f>
        <v>公益財団法人　日本生命済生会　日本生命病院</v>
      </c>
      <c r="H4" s="1534"/>
      <c r="I4" s="1534"/>
      <c r="J4" s="1534"/>
      <c r="K4" s="1534"/>
      <c r="L4" s="1534"/>
      <c r="M4" s="1534"/>
      <c r="N4" s="1534"/>
      <c r="O4" s="1534"/>
      <c r="P4" s="1534"/>
      <c r="Q4" s="1534"/>
      <c r="R4" s="1534"/>
      <c r="S4" s="1534"/>
      <c r="T4" s="1534"/>
      <c r="U4" s="1534"/>
      <c r="V4" s="1534"/>
      <c r="W4" s="1534"/>
      <c r="X4" s="1534"/>
      <c r="Y4" s="1535"/>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1441</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525" t="s">
        <v>891</v>
      </c>
      <c r="C7" s="1526"/>
      <c r="D7" s="1526"/>
      <c r="E7" s="1526"/>
      <c r="F7" s="1527" t="s">
        <v>1818</v>
      </c>
      <c r="G7" s="1528"/>
      <c r="H7" s="1528"/>
      <c r="I7" s="1528"/>
      <c r="J7" s="1528"/>
      <c r="K7" s="1528"/>
      <c r="L7" s="1528"/>
      <c r="M7" s="1528"/>
      <c r="N7" s="1528"/>
      <c r="O7" s="1529"/>
      <c r="P7" s="551"/>
      <c r="Q7" s="551"/>
      <c r="R7" s="551"/>
      <c r="S7" s="551"/>
      <c r="T7" s="551"/>
      <c r="U7" s="551"/>
      <c r="V7" s="551"/>
      <c r="W7" s="551"/>
      <c r="X7" s="551"/>
      <c r="Y7" s="552"/>
      <c r="AA7" s="467" t="str">
        <f>IF($F$7&lt;&gt;"","○","×")</f>
        <v>○</v>
      </c>
      <c r="AB7" s="467"/>
      <c r="AC7" s="164"/>
    </row>
    <row r="8" spans="1:31" ht="18" customHeight="1" thickBot="1">
      <c r="A8" s="550">
        <v>2</v>
      </c>
      <c r="B8" s="1525" t="s">
        <v>892</v>
      </c>
      <c r="C8" s="1526"/>
      <c r="D8" s="1526"/>
      <c r="E8" s="1526"/>
      <c r="F8" s="1530"/>
      <c r="G8" s="1531"/>
      <c r="H8" s="1531"/>
      <c r="I8" s="1531"/>
      <c r="J8" s="1531"/>
      <c r="K8" s="1531"/>
      <c r="L8" s="1531"/>
      <c r="M8" s="1531"/>
      <c r="N8" s="1531"/>
      <c r="O8" s="1532"/>
      <c r="P8" s="426"/>
      <c r="Q8" s="426"/>
      <c r="R8" s="426"/>
      <c r="S8" s="426"/>
      <c r="T8" s="426"/>
      <c r="U8" s="426"/>
      <c r="V8" s="426"/>
      <c r="W8" s="426"/>
      <c r="X8" s="426"/>
      <c r="Y8" s="553"/>
      <c r="AA8" s="467" t="str">
        <f>IF(AND($F$7="病棟があります",F8=""),"×","○")</f>
        <v>○</v>
      </c>
      <c r="AB8" s="467"/>
      <c r="AC8" s="164"/>
    </row>
    <row r="9" spans="1:31" ht="18" customHeight="1" thickBot="1">
      <c r="A9" s="550">
        <v>3</v>
      </c>
      <c r="B9" s="1525" t="s">
        <v>893</v>
      </c>
      <c r="C9" s="1526"/>
      <c r="D9" s="1526"/>
      <c r="E9" s="1526"/>
      <c r="F9" s="1527"/>
      <c r="G9" s="1528"/>
      <c r="H9" s="1528"/>
      <c r="I9" s="1528"/>
      <c r="J9" s="1528"/>
      <c r="K9" s="1528"/>
      <c r="L9" s="1528"/>
      <c r="M9" s="1528"/>
      <c r="N9" s="1528"/>
      <c r="O9" s="1529"/>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525" t="s">
        <v>894</v>
      </c>
      <c r="C10" s="1526"/>
      <c r="D10" s="1526"/>
      <c r="E10" s="1526"/>
      <c r="F10" s="327"/>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512">
        <v>5</v>
      </c>
      <c r="B11" s="1513" t="s">
        <v>896</v>
      </c>
      <c r="C11" s="1513"/>
      <c r="D11" s="1513"/>
      <c r="E11" s="1513"/>
      <c r="F11" s="1513"/>
      <c r="G11" s="1514"/>
      <c r="H11" s="1513"/>
      <c r="I11" s="1513"/>
      <c r="J11" s="1513"/>
      <c r="K11" s="1513"/>
      <c r="L11" s="1513"/>
      <c r="M11" s="1513"/>
      <c r="N11" s="1513"/>
      <c r="O11" s="1513"/>
      <c r="P11" s="1513"/>
      <c r="Q11" s="1513"/>
      <c r="R11" s="1513"/>
      <c r="S11" s="1513"/>
      <c r="T11" s="1513"/>
      <c r="U11" s="1513"/>
      <c r="V11" s="1515"/>
      <c r="W11" s="1523"/>
      <c r="X11" s="1524"/>
      <c r="Y11" s="529" t="s">
        <v>897</v>
      </c>
      <c r="Z11" s="555"/>
      <c r="AA11" s="467" t="str">
        <f>IF(AND($F$7="病棟があります",W11=""),"×","○")</f>
        <v>○</v>
      </c>
      <c r="AB11" s="467"/>
      <c r="AC11" s="164"/>
      <c r="AD11" s="556">
        <v>0</v>
      </c>
      <c r="AE11" s="531">
        <v>40</v>
      </c>
    </row>
    <row r="12" spans="1:31" ht="18" customHeight="1" thickBot="1">
      <c r="A12" s="1512"/>
      <c r="B12" s="1513" t="s">
        <v>1779</v>
      </c>
      <c r="C12" s="1513"/>
      <c r="D12" s="1513"/>
      <c r="E12" s="1513"/>
      <c r="F12" s="1513"/>
      <c r="G12" s="1513"/>
      <c r="H12" s="1513"/>
      <c r="I12" s="1513"/>
      <c r="J12" s="1513"/>
      <c r="K12" s="1513"/>
      <c r="L12" s="1513"/>
      <c r="M12" s="1513"/>
      <c r="N12" s="1513"/>
      <c r="O12" s="1513"/>
      <c r="P12" s="1513"/>
      <c r="Q12" s="1513"/>
      <c r="R12" s="1513"/>
      <c r="S12" s="1513"/>
      <c r="T12" s="1513"/>
      <c r="U12" s="1513"/>
      <c r="V12" s="1515"/>
      <c r="W12" s="1523"/>
      <c r="X12" s="1524"/>
      <c r="Y12" s="529" t="s">
        <v>262</v>
      </c>
      <c r="Z12" s="451"/>
      <c r="AA12" s="467" t="str">
        <f t="shared" ref="AA12:AA13" si="1">IF(AND($F$7="病棟があります",W12=""),"×","○")</f>
        <v>○</v>
      </c>
      <c r="AB12" s="467"/>
      <c r="AC12" s="164"/>
      <c r="AD12" s="556">
        <v>0</v>
      </c>
      <c r="AE12" s="531">
        <v>500</v>
      </c>
    </row>
    <row r="13" spans="1:31" ht="18" customHeight="1" thickBot="1">
      <c r="A13" s="1512"/>
      <c r="B13" s="1513" t="s">
        <v>1780</v>
      </c>
      <c r="C13" s="1513"/>
      <c r="D13" s="1513"/>
      <c r="E13" s="1513"/>
      <c r="F13" s="1513"/>
      <c r="G13" s="1521"/>
      <c r="H13" s="1521"/>
      <c r="I13" s="1521"/>
      <c r="J13" s="1521"/>
      <c r="K13" s="1521"/>
      <c r="L13" s="1521"/>
      <c r="M13" s="1521"/>
      <c r="N13" s="1521"/>
      <c r="O13" s="1521"/>
      <c r="P13" s="1521"/>
      <c r="Q13" s="1521"/>
      <c r="R13" s="1521"/>
      <c r="S13" s="1521"/>
      <c r="T13" s="1521"/>
      <c r="U13" s="1521"/>
      <c r="V13" s="1522"/>
      <c r="W13" s="1523"/>
      <c r="X13" s="1524"/>
      <c r="Y13" s="557" t="s">
        <v>262</v>
      </c>
      <c r="Z13" s="451"/>
      <c r="AA13" s="467" t="str">
        <f t="shared" si="1"/>
        <v>○</v>
      </c>
      <c r="AB13" s="467"/>
      <c r="AC13" s="164"/>
      <c r="AD13" s="556">
        <v>0</v>
      </c>
      <c r="AE13" s="531">
        <v>400</v>
      </c>
    </row>
    <row r="14" spans="1:31" ht="18" customHeight="1" thickBot="1">
      <c r="A14" s="1501">
        <v>6</v>
      </c>
      <c r="B14" s="1442" t="s">
        <v>898</v>
      </c>
      <c r="C14" s="1458"/>
      <c r="D14" s="1458"/>
      <c r="E14" s="1516"/>
      <c r="F14" s="558" t="s">
        <v>875</v>
      </c>
      <c r="G14" s="1518"/>
      <c r="H14" s="1519"/>
      <c r="I14" s="1519"/>
      <c r="J14" s="1519"/>
      <c r="K14" s="1519"/>
      <c r="L14" s="1519"/>
      <c r="M14" s="1519"/>
      <c r="N14" s="1519"/>
      <c r="O14" s="1519"/>
      <c r="P14" s="1519"/>
      <c r="Q14" s="1519"/>
      <c r="R14" s="1519"/>
      <c r="S14" s="1519"/>
      <c r="T14" s="1519"/>
      <c r="U14" s="1519"/>
      <c r="V14" s="1519"/>
      <c r="W14" s="1519"/>
      <c r="X14" s="1519"/>
      <c r="Y14" s="1520"/>
      <c r="Z14" s="476"/>
      <c r="AA14" s="476"/>
      <c r="AB14" s="476"/>
      <c r="AC14" s="164"/>
    </row>
    <row r="15" spans="1:31" ht="40.5" customHeight="1" thickBot="1">
      <c r="A15" s="1503"/>
      <c r="B15" s="1444"/>
      <c r="C15" s="1445"/>
      <c r="D15" s="1445"/>
      <c r="E15" s="1517"/>
      <c r="F15" s="559" t="s">
        <v>899</v>
      </c>
      <c r="G15" s="1492"/>
      <c r="H15" s="1493"/>
      <c r="I15" s="1493"/>
      <c r="J15" s="1493"/>
      <c r="K15" s="1493"/>
      <c r="L15" s="1493"/>
      <c r="M15" s="1493"/>
      <c r="N15" s="1493"/>
      <c r="O15" s="1493"/>
      <c r="P15" s="1493"/>
      <c r="Q15" s="1493"/>
      <c r="R15" s="1493"/>
      <c r="S15" s="1493"/>
      <c r="T15" s="1493"/>
      <c r="U15" s="1493"/>
      <c r="V15" s="1493"/>
      <c r="W15" s="1493"/>
      <c r="X15" s="1493"/>
      <c r="Y15" s="1494"/>
      <c r="Z15" s="476"/>
      <c r="AA15" s="476"/>
      <c r="AB15" s="476"/>
      <c r="AC15" s="164"/>
    </row>
    <row r="16" spans="1:31" ht="18" customHeight="1" thickBot="1">
      <c r="A16" s="1501">
        <v>7</v>
      </c>
      <c r="B16" s="1504" t="s">
        <v>900</v>
      </c>
      <c r="C16" s="1443"/>
      <c r="D16" s="1506" t="s">
        <v>901</v>
      </c>
      <c r="E16" s="1507"/>
      <c r="F16" s="1507"/>
      <c r="G16" s="1507"/>
      <c r="H16" s="1507"/>
      <c r="I16" s="1508"/>
      <c r="J16" s="560">
        <v>2</v>
      </c>
      <c r="K16" s="426"/>
      <c r="L16" s="1509" t="s">
        <v>902</v>
      </c>
      <c r="M16" s="1510"/>
      <c r="N16" s="1510"/>
      <c r="O16" s="1510"/>
      <c r="P16" s="1510"/>
      <c r="Q16" s="1510"/>
      <c r="R16" s="1510"/>
      <c r="S16" s="1510"/>
      <c r="T16" s="1510"/>
      <c r="U16" s="1510"/>
      <c r="V16" s="1510"/>
      <c r="W16" s="1511"/>
      <c r="X16" s="560">
        <v>1</v>
      </c>
      <c r="Y16" s="561"/>
      <c r="AC16" s="164"/>
    </row>
    <row r="17" spans="1:31" ht="18" customHeight="1" thickBot="1">
      <c r="A17" s="1502"/>
      <c r="B17" s="1505"/>
      <c r="C17" s="1476"/>
      <c r="D17" s="1483"/>
      <c r="E17" s="1484"/>
      <c r="F17" s="1484"/>
      <c r="G17" s="1484"/>
      <c r="H17" s="1484"/>
      <c r="I17" s="1485"/>
      <c r="J17" s="327"/>
      <c r="K17" s="426"/>
      <c r="L17" s="1498"/>
      <c r="M17" s="1499"/>
      <c r="N17" s="1499"/>
      <c r="O17" s="1499"/>
      <c r="P17" s="1499"/>
      <c r="Q17" s="1499"/>
      <c r="R17" s="1499"/>
      <c r="S17" s="1499"/>
      <c r="T17" s="1499"/>
      <c r="U17" s="1499"/>
      <c r="V17" s="1499"/>
      <c r="W17" s="1500"/>
      <c r="X17" s="327"/>
      <c r="Y17" s="561"/>
      <c r="AA17" s="467" t="str">
        <f>IF(AND($F$7="病棟があります",OR(D17="",J17="")),"×","○")</f>
        <v>○</v>
      </c>
      <c r="AB17" s="467"/>
      <c r="AC17" s="164"/>
      <c r="AD17" s="531">
        <v>0</v>
      </c>
      <c r="AE17" s="540">
        <v>20</v>
      </c>
    </row>
    <row r="18" spans="1:31" ht="18" customHeight="1" thickBot="1">
      <c r="A18" s="1502"/>
      <c r="B18" s="1505"/>
      <c r="C18" s="1476"/>
      <c r="D18" s="1483"/>
      <c r="E18" s="1484"/>
      <c r="F18" s="1484"/>
      <c r="G18" s="1484"/>
      <c r="H18" s="1484"/>
      <c r="I18" s="1485"/>
      <c r="J18" s="327"/>
      <c r="K18" s="426"/>
      <c r="L18" s="1498"/>
      <c r="M18" s="1499"/>
      <c r="N18" s="1499"/>
      <c r="O18" s="1499"/>
      <c r="P18" s="1499"/>
      <c r="Q18" s="1499"/>
      <c r="R18" s="1499"/>
      <c r="S18" s="1499"/>
      <c r="T18" s="1499"/>
      <c r="U18" s="1499"/>
      <c r="V18" s="1499"/>
      <c r="W18" s="1500"/>
      <c r="X18" s="327"/>
      <c r="Y18" s="561"/>
      <c r="AC18" s="164"/>
      <c r="AD18" s="531">
        <v>0</v>
      </c>
      <c r="AE18" s="540">
        <v>20</v>
      </c>
    </row>
    <row r="19" spans="1:31" ht="18" customHeight="1" thickBot="1">
      <c r="A19" s="1502"/>
      <c r="B19" s="1505"/>
      <c r="C19" s="1476"/>
      <c r="D19" s="1483"/>
      <c r="E19" s="1484"/>
      <c r="F19" s="1484"/>
      <c r="G19" s="1484"/>
      <c r="H19" s="1484"/>
      <c r="I19" s="1485"/>
      <c r="J19" s="327"/>
      <c r="K19" s="426"/>
      <c r="L19" s="1498"/>
      <c r="M19" s="1499"/>
      <c r="N19" s="1499"/>
      <c r="O19" s="1499"/>
      <c r="P19" s="1499"/>
      <c r="Q19" s="1499"/>
      <c r="R19" s="1499"/>
      <c r="S19" s="1499"/>
      <c r="T19" s="1499"/>
      <c r="U19" s="1499"/>
      <c r="V19" s="1499"/>
      <c r="W19" s="1500"/>
      <c r="X19" s="327"/>
      <c r="Y19" s="561"/>
      <c r="AC19" s="164"/>
      <c r="AD19" s="531">
        <v>0</v>
      </c>
      <c r="AE19" s="540">
        <v>20</v>
      </c>
    </row>
    <row r="20" spans="1:31" ht="18" customHeight="1" thickBot="1">
      <c r="A20" s="1502"/>
      <c r="B20" s="1505"/>
      <c r="C20" s="1476"/>
      <c r="D20" s="1483"/>
      <c r="E20" s="1484"/>
      <c r="F20" s="1484"/>
      <c r="G20" s="1484"/>
      <c r="H20" s="1484"/>
      <c r="I20" s="1485"/>
      <c r="J20" s="327"/>
      <c r="K20" s="426"/>
      <c r="L20" s="1498"/>
      <c r="M20" s="1499"/>
      <c r="N20" s="1499"/>
      <c r="O20" s="1499"/>
      <c r="P20" s="1499"/>
      <c r="Q20" s="1499"/>
      <c r="R20" s="1499"/>
      <c r="S20" s="1499"/>
      <c r="T20" s="1499"/>
      <c r="U20" s="1499"/>
      <c r="V20" s="1499"/>
      <c r="W20" s="1500"/>
      <c r="X20" s="327"/>
      <c r="Y20" s="561"/>
      <c r="AC20" s="164"/>
      <c r="AD20" s="531">
        <v>0</v>
      </c>
      <c r="AE20" s="540">
        <v>20</v>
      </c>
    </row>
    <row r="21" spans="1:31" ht="18" customHeight="1" thickBot="1">
      <c r="A21" s="1502"/>
      <c r="B21" s="1505"/>
      <c r="C21" s="1476"/>
      <c r="D21" s="1483"/>
      <c r="E21" s="1484"/>
      <c r="F21" s="1484"/>
      <c r="G21" s="1484"/>
      <c r="H21" s="1484"/>
      <c r="I21" s="1485"/>
      <c r="J21" s="327"/>
      <c r="K21" s="426"/>
      <c r="L21" s="1498"/>
      <c r="M21" s="1499"/>
      <c r="N21" s="1499"/>
      <c r="O21" s="1499"/>
      <c r="P21" s="1499"/>
      <c r="Q21" s="1499"/>
      <c r="R21" s="1499"/>
      <c r="S21" s="1499"/>
      <c r="T21" s="1499"/>
      <c r="U21" s="1499"/>
      <c r="V21" s="1499"/>
      <c r="W21" s="1500"/>
      <c r="X21" s="327"/>
      <c r="Y21" s="561"/>
      <c r="AC21" s="164"/>
      <c r="AD21" s="531">
        <v>0</v>
      </c>
      <c r="AE21" s="540">
        <v>20</v>
      </c>
    </row>
    <row r="22" spans="1:31" ht="18" customHeight="1" thickBot="1">
      <c r="A22" s="1502"/>
      <c r="B22" s="1505"/>
      <c r="C22" s="1476"/>
      <c r="D22" s="1483"/>
      <c r="E22" s="1484"/>
      <c r="F22" s="1484"/>
      <c r="G22" s="1484"/>
      <c r="H22" s="1484"/>
      <c r="I22" s="1485"/>
      <c r="J22" s="327"/>
      <c r="K22" s="426"/>
      <c r="L22" s="1498"/>
      <c r="M22" s="1499"/>
      <c r="N22" s="1499"/>
      <c r="O22" s="1499"/>
      <c r="P22" s="1499"/>
      <c r="Q22" s="1499"/>
      <c r="R22" s="1499"/>
      <c r="S22" s="1499"/>
      <c r="T22" s="1499"/>
      <c r="U22" s="1499"/>
      <c r="V22" s="1499"/>
      <c r="W22" s="1500"/>
      <c r="X22" s="327"/>
      <c r="Y22" s="561"/>
      <c r="AC22" s="164"/>
      <c r="AD22" s="531">
        <v>0</v>
      </c>
      <c r="AE22" s="540">
        <v>20</v>
      </c>
    </row>
    <row r="23" spans="1:31" ht="18" customHeight="1" thickBot="1">
      <c r="A23" s="1502"/>
      <c r="B23" s="1505"/>
      <c r="C23" s="1476"/>
      <c r="D23" s="1483"/>
      <c r="E23" s="1484"/>
      <c r="F23" s="1484"/>
      <c r="G23" s="1484"/>
      <c r="H23" s="1484"/>
      <c r="I23" s="1485"/>
      <c r="J23" s="327"/>
      <c r="K23" s="426"/>
      <c r="L23" s="1498"/>
      <c r="M23" s="1499"/>
      <c r="N23" s="1499"/>
      <c r="O23" s="1499"/>
      <c r="P23" s="1499"/>
      <c r="Q23" s="1499"/>
      <c r="R23" s="1499"/>
      <c r="S23" s="1499"/>
      <c r="T23" s="1499"/>
      <c r="U23" s="1499"/>
      <c r="V23" s="1499"/>
      <c r="W23" s="1500"/>
      <c r="X23" s="327"/>
      <c r="Y23" s="561"/>
      <c r="AC23" s="164"/>
      <c r="AD23" s="531">
        <v>0</v>
      </c>
      <c r="AE23" s="540">
        <v>20</v>
      </c>
    </row>
    <row r="24" spans="1:31" ht="18" customHeight="1" thickBot="1">
      <c r="A24" s="1502"/>
      <c r="B24" s="1505"/>
      <c r="C24" s="1476"/>
      <c r="D24" s="1483"/>
      <c r="E24" s="1484"/>
      <c r="F24" s="1484"/>
      <c r="G24" s="1484"/>
      <c r="H24" s="1484"/>
      <c r="I24" s="1485"/>
      <c r="J24" s="327"/>
      <c r="K24" s="426"/>
      <c r="L24" s="1498"/>
      <c r="M24" s="1499"/>
      <c r="N24" s="1499"/>
      <c r="O24" s="1499"/>
      <c r="P24" s="1499"/>
      <c r="Q24" s="1499"/>
      <c r="R24" s="1499"/>
      <c r="S24" s="1499"/>
      <c r="T24" s="1499"/>
      <c r="U24" s="1499"/>
      <c r="V24" s="1499"/>
      <c r="W24" s="1500"/>
      <c r="X24" s="327"/>
      <c r="Y24" s="561"/>
      <c r="AC24" s="164"/>
      <c r="AD24" s="531">
        <v>0</v>
      </c>
      <c r="AE24" s="540">
        <v>20</v>
      </c>
    </row>
    <row r="25" spans="1:31" ht="18" customHeight="1" thickBot="1">
      <c r="A25" s="1502"/>
      <c r="B25" s="1505"/>
      <c r="C25" s="1476"/>
      <c r="D25" s="1483"/>
      <c r="E25" s="1484"/>
      <c r="F25" s="1484"/>
      <c r="G25" s="1484"/>
      <c r="H25" s="1484"/>
      <c r="I25" s="1485"/>
      <c r="J25" s="327"/>
      <c r="K25" s="426"/>
      <c r="L25" s="1498"/>
      <c r="M25" s="1499"/>
      <c r="N25" s="1499"/>
      <c r="O25" s="1499"/>
      <c r="P25" s="1499"/>
      <c r="Q25" s="1499"/>
      <c r="R25" s="1499"/>
      <c r="S25" s="1499"/>
      <c r="T25" s="1499"/>
      <c r="U25" s="1499"/>
      <c r="V25" s="1499"/>
      <c r="W25" s="1500"/>
      <c r="X25" s="327"/>
      <c r="Y25" s="561"/>
      <c r="AC25" s="164"/>
      <c r="AD25" s="531">
        <v>0</v>
      </c>
      <c r="AE25" s="540">
        <v>20</v>
      </c>
    </row>
    <row r="26" spans="1:31" ht="18" customHeight="1" thickBot="1">
      <c r="A26" s="1503"/>
      <c r="B26" s="1444"/>
      <c r="C26" s="1445"/>
      <c r="D26" s="1483"/>
      <c r="E26" s="1484"/>
      <c r="F26" s="1484"/>
      <c r="G26" s="1484"/>
      <c r="H26" s="1484"/>
      <c r="I26" s="1485"/>
      <c r="J26" s="327"/>
      <c r="K26" s="562"/>
      <c r="L26" s="1486"/>
      <c r="M26" s="1487"/>
      <c r="N26" s="1487"/>
      <c r="O26" s="1487"/>
      <c r="P26" s="1487"/>
      <c r="Q26" s="1487"/>
      <c r="R26" s="1487"/>
      <c r="S26" s="1487"/>
      <c r="T26" s="1487"/>
      <c r="U26" s="1487"/>
      <c r="V26" s="1487"/>
      <c r="W26" s="1488"/>
      <c r="X26" s="327"/>
      <c r="Y26" s="561"/>
      <c r="AC26" s="164"/>
      <c r="AD26" s="531">
        <v>0</v>
      </c>
      <c r="AE26" s="540">
        <v>20</v>
      </c>
    </row>
    <row r="27" spans="1:31" ht="18" customHeight="1" thickBot="1">
      <c r="A27" s="1464">
        <v>8</v>
      </c>
      <c r="B27" s="1473" t="s">
        <v>878</v>
      </c>
      <c r="C27" s="1474"/>
      <c r="D27" s="1475"/>
      <c r="E27" s="1475"/>
      <c r="F27" s="1476"/>
      <c r="G27" s="1476"/>
      <c r="H27" s="1476"/>
      <c r="I27" s="1476"/>
      <c r="J27" s="1476"/>
      <c r="K27" s="1476"/>
      <c r="L27" s="1476"/>
      <c r="M27" s="1476"/>
      <c r="N27" s="1476"/>
      <c r="O27" s="1476"/>
      <c r="P27" s="1476"/>
      <c r="Q27" s="1476"/>
      <c r="R27" s="1476"/>
      <c r="S27" s="1476"/>
      <c r="T27" s="1476"/>
      <c r="U27" s="1476"/>
      <c r="V27" s="1476"/>
      <c r="W27" s="1476"/>
      <c r="X27" s="1476"/>
      <c r="Y27" s="37"/>
      <c r="AA27" s="467" t="str">
        <f>IF(AND($F$7="病棟があります",Y27=""),"×","○")</f>
        <v>○</v>
      </c>
      <c r="AB27" s="467"/>
      <c r="AC27" s="164"/>
    </row>
    <row r="28" spans="1:31" ht="18" customHeight="1" thickBot="1">
      <c r="A28" s="1392"/>
      <c r="B28" s="1465" t="s">
        <v>879</v>
      </c>
      <c r="C28" s="1466"/>
      <c r="D28" s="1466"/>
      <c r="E28" s="1466"/>
      <c r="F28" s="1467"/>
      <c r="G28" s="1468"/>
      <c r="H28" s="1468"/>
      <c r="I28" s="1468"/>
      <c r="J28" s="1468"/>
      <c r="K28" s="1468"/>
      <c r="L28" s="1468"/>
      <c r="M28" s="1468"/>
      <c r="N28" s="1468"/>
      <c r="O28" s="1468"/>
      <c r="P28" s="1468"/>
      <c r="Q28" s="1468"/>
      <c r="R28" s="1468"/>
      <c r="S28" s="1468"/>
      <c r="T28" s="1468"/>
      <c r="U28" s="1468"/>
      <c r="V28" s="1468"/>
      <c r="W28" s="1468"/>
      <c r="X28" s="1468"/>
      <c r="Y28" s="1472"/>
      <c r="AA28" s="467" t="str">
        <f>IF(AND($Y$27="はい",F28=""),"×","○")</f>
        <v>○</v>
      </c>
      <c r="AB28" s="467"/>
      <c r="AC28" s="164"/>
    </row>
    <row r="29" spans="1:31" ht="18" customHeight="1" thickBot="1">
      <c r="A29" s="1392"/>
      <c r="B29" s="1465" t="s">
        <v>880</v>
      </c>
      <c r="C29" s="1470"/>
      <c r="D29" s="1470"/>
      <c r="E29" s="1471"/>
      <c r="F29" s="1467"/>
      <c r="G29" s="1468"/>
      <c r="H29" s="1468"/>
      <c r="I29" s="1468"/>
      <c r="J29" s="1468"/>
      <c r="K29" s="1468"/>
      <c r="L29" s="1468"/>
      <c r="M29" s="1468"/>
      <c r="N29" s="1468"/>
      <c r="O29" s="1472"/>
      <c r="P29" s="1404" t="s">
        <v>881</v>
      </c>
      <c r="Q29" s="1404"/>
      <c r="R29" s="1404"/>
      <c r="S29" s="1495"/>
      <c r="T29" s="1496"/>
      <c r="U29" s="1496"/>
      <c r="V29" s="1496"/>
      <c r="W29" s="1496"/>
      <c r="X29" s="1496"/>
      <c r="Y29" s="1497"/>
      <c r="AA29" s="467"/>
      <c r="AB29" s="467"/>
      <c r="AC29" s="164"/>
    </row>
    <row r="30" spans="1:31" ht="18" customHeight="1" thickBot="1">
      <c r="A30" s="1392"/>
      <c r="B30" s="1477" t="s">
        <v>903</v>
      </c>
      <c r="C30" s="1478"/>
      <c r="D30" s="1478"/>
      <c r="E30" s="1479"/>
      <c r="F30" s="558" t="s">
        <v>875</v>
      </c>
      <c r="G30" s="1489"/>
      <c r="H30" s="1490"/>
      <c r="I30" s="1490"/>
      <c r="J30" s="1490"/>
      <c r="K30" s="1490"/>
      <c r="L30" s="1490"/>
      <c r="M30" s="1490"/>
      <c r="N30" s="1490"/>
      <c r="O30" s="1490"/>
      <c r="P30" s="1490"/>
      <c r="Q30" s="1490"/>
      <c r="R30" s="1490"/>
      <c r="S30" s="1490"/>
      <c r="T30" s="1490"/>
      <c r="U30" s="1490"/>
      <c r="V30" s="1490"/>
      <c r="W30" s="1490"/>
      <c r="X30" s="1490"/>
      <c r="Y30" s="1491"/>
      <c r="AC30" s="164"/>
    </row>
    <row r="31" spans="1:31" ht="18" customHeight="1" thickBot="1">
      <c r="A31" s="1393"/>
      <c r="B31" s="1480"/>
      <c r="C31" s="1481"/>
      <c r="D31" s="1481"/>
      <c r="E31" s="1482"/>
      <c r="F31" s="559" t="s">
        <v>899</v>
      </c>
      <c r="G31" s="1492"/>
      <c r="H31" s="1493"/>
      <c r="I31" s="1493"/>
      <c r="J31" s="1493"/>
      <c r="K31" s="1493"/>
      <c r="L31" s="1493"/>
      <c r="M31" s="1493"/>
      <c r="N31" s="1493"/>
      <c r="O31" s="1493"/>
      <c r="P31" s="1493"/>
      <c r="Q31" s="1493"/>
      <c r="R31" s="1493"/>
      <c r="S31" s="1493"/>
      <c r="T31" s="1493"/>
      <c r="U31" s="1493"/>
      <c r="V31" s="1493"/>
      <c r="W31" s="1493"/>
      <c r="X31" s="1493"/>
      <c r="Y31" s="1494"/>
      <c r="AC31" s="164"/>
    </row>
    <row r="32" spans="1:31" ht="35.25" customHeight="1" thickBot="1">
      <c r="A32" s="1464">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c r="AA32" s="467" t="str">
        <f>IF(AND($F$7="病棟があります",Y32=""),"×","○")</f>
        <v>○</v>
      </c>
      <c r="AB32" s="467"/>
      <c r="AC32" s="164"/>
    </row>
    <row r="33" spans="1:29" ht="18" customHeight="1" thickBot="1">
      <c r="A33" s="1392"/>
      <c r="B33" s="1465" t="s">
        <v>879</v>
      </c>
      <c r="C33" s="1466"/>
      <c r="D33" s="1466"/>
      <c r="E33" s="1466"/>
      <c r="F33" s="1467"/>
      <c r="G33" s="1468"/>
      <c r="H33" s="1468"/>
      <c r="I33" s="1468"/>
      <c r="J33" s="1468"/>
      <c r="K33" s="1468"/>
      <c r="L33" s="1468"/>
      <c r="M33" s="1468"/>
      <c r="N33" s="1468"/>
      <c r="O33" s="1468"/>
      <c r="P33" s="1468"/>
      <c r="Q33" s="1468"/>
      <c r="R33" s="1468"/>
      <c r="S33" s="1468"/>
      <c r="T33" s="1468"/>
      <c r="U33" s="1468"/>
      <c r="V33" s="1468"/>
      <c r="W33" s="1468"/>
      <c r="X33" s="1468"/>
      <c r="Y33" s="1469"/>
      <c r="AA33" s="467" t="str">
        <f>IF(AND($Y$32="はい",F33=""),"×","○")</f>
        <v>○</v>
      </c>
      <c r="AB33" s="467"/>
      <c r="AC33" s="164"/>
    </row>
    <row r="34" spans="1:29" ht="18" customHeight="1" thickBot="1">
      <c r="A34" s="1392"/>
      <c r="B34" s="1465" t="s">
        <v>880</v>
      </c>
      <c r="C34" s="1470"/>
      <c r="D34" s="1470"/>
      <c r="E34" s="1471"/>
      <c r="F34" s="1467"/>
      <c r="G34" s="1468"/>
      <c r="H34" s="1468"/>
      <c r="I34" s="1468"/>
      <c r="J34" s="1468"/>
      <c r="K34" s="1468"/>
      <c r="L34" s="1468"/>
      <c r="M34" s="1468"/>
      <c r="N34" s="1468"/>
      <c r="O34" s="1472"/>
      <c r="P34" s="1404" t="s">
        <v>881</v>
      </c>
      <c r="Q34" s="1404"/>
      <c r="R34" s="1404"/>
      <c r="S34" s="1495"/>
      <c r="T34" s="1496"/>
      <c r="U34" s="1496"/>
      <c r="V34" s="1496"/>
      <c r="W34" s="1496"/>
      <c r="X34" s="1496"/>
      <c r="Y34" s="1497"/>
      <c r="AC34" s="164"/>
    </row>
    <row r="35" spans="1:29" ht="18" customHeight="1" thickBot="1">
      <c r="A35" s="1392"/>
      <c r="B35" s="1450" t="s">
        <v>903</v>
      </c>
      <c r="C35" s="1451"/>
      <c r="D35" s="1451"/>
      <c r="E35" s="1452"/>
      <c r="F35" s="558" t="s">
        <v>875</v>
      </c>
      <c r="G35" s="1456"/>
      <c r="H35" s="1456"/>
      <c r="I35" s="1456"/>
      <c r="J35" s="1456"/>
      <c r="K35" s="1456"/>
      <c r="L35" s="1456"/>
      <c r="M35" s="1456"/>
      <c r="N35" s="1456"/>
      <c r="O35" s="1456"/>
      <c r="P35" s="1456"/>
      <c r="Q35" s="1456"/>
      <c r="R35" s="1456"/>
      <c r="S35" s="1456"/>
      <c r="T35" s="1456"/>
      <c r="U35" s="1456"/>
      <c r="V35" s="1456"/>
      <c r="W35" s="1456"/>
      <c r="X35" s="1456"/>
      <c r="Y35" s="1456"/>
      <c r="AC35" s="164"/>
    </row>
    <row r="36" spans="1:29" ht="18" customHeight="1" thickBot="1">
      <c r="A36" s="1393"/>
      <c r="B36" s="1453"/>
      <c r="C36" s="1454"/>
      <c r="D36" s="1454"/>
      <c r="E36" s="1455"/>
      <c r="F36" s="559" t="s">
        <v>899</v>
      </c>
      <c r="G36" s="1457"/>
      <c r="H36" s="1457"/>
      <c r="I36" s="1457"/>
      <c r="J36" s="1457"/>
      <c r="K36" s="1457"/>
      <c r="L36" s="1457"/>
      <c r="M36" s="1457"/>
      <c r="N36" s="1457"/>
      <c r="O36" s="1457"/>
      <c r="P36" s="1457"/>
      <c r="Q36" s="1457"/>
      <c r="R36" s="1457"/>
      <c r="S36" s="1457"/>
      <c r="T36" s="1457"/>
      <c r="U36" s="1457"/>
      <c r="V36" s="1457"/>
      <c r="W36" s="1457"/>
      <c r="X36" s="1457"/>
      <c r="Y36" s="1457"/>
      <c r="AC36" s="164"/>
    </row>
    <row r="37" spans="1:29" ht="35.25" customHeight="1" thickBot="1">
      <c r="A37" s="1342">
        <v>10</v>
      </c>
      <c r="B37" s="1442" t="s">
        <v>904</v>
      </c>
      <c r="C37" s="1458"/>
      <c r="D37" s="1459" t="s">
        <v>905</v>
      </c>
      <c r="E37" s="1460"/>
      <c r="F37" s="1460"/>
      <c r="G37" s="1461"/>
      <c r="H37" s="1461"/>
      <c r="I37" s="1461"/>
      <c r="J37" s="1461"/>
      <c r="K37" s="1461"/>
      <c r="L37" s="1461"/>
      <c r="M37" s="1461"/>
      <c r="N37" s="1461"/>
      <c r="O37" s="1461"/>
      <c r="P37" s="1461"/>
      <c r="Q37" s="1461"/>
      <c r="R37" s="1461"/>
      <c r="S37" s="1461"/>
      <c r="T37" s="1461"/>
      <c r="U37" s="1461"/>
      <c r="V37" s="1461"/>
      <c r="W37" s="1461"/>
      <c r="X37" s="1461"/>
      <c r="Y37" s="1462"/>
      <c r="AC37" s="164"/>
    </row>
    <row r="38" spans="1:29" ht="24.9" customHeight="1" thickBot="1">
      <c r="A38" s="1342"/>
      <c r="B38" s="1444"/>
      <c r="C38" s="1445"/>
      <c r="D38" s="1463"/>
      <c r="E38" s="1463"/>
      <c r="F38" s="1463"/>
      <c r="G38" s="1463"/>
      <c r="H38" s="1463"/>
      <c r="I38" s="1463"/>
      <c r="J38" s="1463"/>
      <c r="K38" s="1463"/>
      <c r="L38" s="1463"/>
      <c r="M38" s="1463"/>
      <c r="N38" s="1463"/>
      <c r="O38" s="1463"/>
      <c r="P38" s="1463"/>
      <c r="Q38" s="1463"/>
      <c r="R38" s="1463"/>
      <c r="S38" s="1463"/>
      <c r="T38" s="1463"/>
      <c r="U38" s="1463"/>
      <c r="V38" s="1463"/>
      <c r="W38" s="1463"/>
      <c r="X38" s="1463"/>
      <c r="Y38" s="1463"/>
      <c r="AA38" s="467" t="str">
        <f>IF(AND($F$7="病棟があります",D38=""),"×","○")</f>
        <v>○</v>
      </c>
      <c r="AB38" s="467"/>
      <c r="AC38" s="164"/>
    </row>
    <row r="39" spans="1:29" ht="33.75" customHeight="1" thickBot="1">
      <c r="A39" s="1339">
        <v>11</v>
      </c>
      <c r="B39" s="1442" t="s">
        <v>906</v>
      </c>
      <c r="C39" s="1443"/>
      <c r="D39" s="1446" t="s">
        <v>907</v>
      </c>
      <c r="E39" s="1447"/>
      <c r="F39" s="1447"/>
      <c r="G39" s="1447"/>
      <c r="H39" s="1447"/>
      <c r="I39" s="1447"/>
      <c r="J39" s="1447"/>
      <c r="K39" s="1447"/>
      <c r="L39" s="1447"/>
      <c r="M39" s="1447"/>
      <c r="N39" s="1447"/>
      <c r="O39" s="1447"/>
      <c r="P39" s="1447"/>
      <c r="Q39" s="1447"/>
      <c r="R39" s="1447"/>
      <c r="S39" s="1447"/>
      <c r="T39" s="1447"/>
      <c r="U39" s="1447"/>
      <c r="V39" s="1447"/>
      <c r="W39" s="1447"/>
      <c r="X39" s="1447"/>
      <c r="Y39" s="1448"/>
      <c r="AC39" s="164"/>
    </row>
    <row r="40" spans="1:29" ht="30" customHeight="1" thickBot="1">
      <c r="A40" s="1441"/>
      <c r="B40" s="1444"/>
      <c r="C40" s="1445"/>
      <c r="D40" s="1449"/>
      <c r="E40" s="1449"/>
      <c r="F40" s="1449"/>
      <c r="G40" s="1449"/>
      <c r="H40" s="1449"/>
      <c r="I40" s="1449"/>
      <c r="J40" s="1449"/>
      <c r="K40" s="1449"/>
      <c r="L40" s="1449"/>
      <c r="M40" s="1449"/>
      <c r="N40" s="1449"/>
      <c r="O40" s="1449"/>
      <c r="P40" s="1449"/>
      <c r="Q40" s="1449"/>
      <c r="R40" s="1449"/>
      <c r="S40" s="1449"/>
      <c r="T40" s="1449"/>
      <c r="U40" s="1449"/>
      <c r="V40" s="1449"/>
      <c r="W40" s="1449"/>
      <c r="X40" s="1449"/>
      <c r="Y40" s="1449"/>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2"/>
  <cols>
    <col min="1" max="2" width="9.6640625" customWidth="1"/>
    <col min="3" max="3" width="14.44140625" customWidth="1"/>
    <col min="4" max="5" width="15.6640625" customWidth="1"/>
    <col min="6" max="6" width="23" customWidth="1"/>
    <col min="7" max="9" width="9.6640625" customWidth="1"/>
    <col min="10" max="10" width="38" customWidth="1"/>
    <col min="11" max="11" width="2.77734375" customWidth="1"/>
    <col min="12" max="12" width="6" hidden="1" customWidth="1"/>
    <col min="13" max="13" width="2.33203125" style="49" customWidth="1"/>
    <col min="14" max="14" width="80.6640625" style="332" customWidth="1"/>
    <col min="15" max="16" width="0" hidden="1" customWidth="1"/>
  </cols>
  <sheetData>
    <row r="1" spans="1:16" ht="20.25" customHeight="1" thickBot="1">
      <c r="A1" s="1536" t="s">
        <v>909</v>
      </c>
      <c r="B1" s="1536"/>
      <c r="C1" s="1536"/>
      <c r="D1" s="1536"/>
      <c r="E1" s="1536"/>
      <c r="F1" s="1536"/>
      <c r="G1" s="1536"/>
      <c r="H1" s="1536"/>
      <c r="I1" s="1536"/>
      <c r="J1" s="1536"/>
      <c r="M1" s="83"/>
    </row>
    <row r="2" spans="1:16" ht="24.9" customHeight="1" thickTop="1" thickBot="1">
      <c r="A2" s="1435" t="s">
        <v>910</v>
      </c>
      <c r="B2" s="1435"/>
      <c r="C2" s="1435"/>
      <c r="D2" s="1435"/>
      <c r="E2" s="1435"/>
      <c r="F2" s="1435"/>
      <c r="G2" s="1435"/>
      <c r="H2" s="1435"/>
      <c r="I2" s="1436"/>
      <c r="J2" s="427" t="str">
        <f>IF(COUNTIF(L7:L18,"×")=0,"入力済","未入力あり")</f>
        <v>入力済</v>
      </c>
      <c r="K2" s="1330"/>
      <c r="L2" s="492"/>
      <c r="M2" s="83"/>
    </row>
    <row r="3" spans="1:16" ht="5.0999999999999996" customHeight="1" thickTop="1">
      <c r="K3" s="1330"/>
      <c r="L3" s="492"/>
      <c r="M3" s="83"/>
    </row>
    <row r="4" spans="1:16" ht="20.100000000000001" customHeight="1">
      <c r="F4" s="568" t="s">
        <v>757</v>
      </c>
      <c r="G4" s="1537" t="str">
        <f>表紙!E2</f>
        <v>公益財団法人　日本生命済生会　日本生命病院</v>
      </c>
      <c r="H4" s="1538"/>
      <c r="I4" s="1538"/>
      <c r="J4" s="1539"/>
      <c r="K4" s="1330"/>
      <c r="L4" s="492"/>
      <c r="M4" s="83"/>
      <c r="N4" s="429"/>
    </row>
    <row r="5" spans="1:16" ht="20.100000000000001" customHeight="1">
      <c r="F5" s="568" t="s">
        <v>911</v>
      </c>
      <c r="G5" t="str">
        <f>別紙1未充足要件!E5</f>
        <v>令和６年９月１日時点</v>
      </c>
      <c r="I5" s="569"/>
      <c r="J5" s="569"/>
      <c r="K5" s="1330"/>
      <c r="L5" s="492"/>
      <c r="M5" s="83"/>
      <c r="N5" s="570" t="s">
        <v>234</v>
      </c>
    </row>
    <row r="6" spans="1:16" ht="18" customHeight="1" thickBot="1">
      <c r="A6" s="1540" t="s">
        <v>912</v>
      </c>
      <c r="B6" s="1541"/>
      <c r="C6" s="1541"/>
      <c r="D6" s="1541"/>
      <c r="E6" s="1541"/>
      <c r="F6" s="1541"/>
      <c r="G6" s="1541"/>
      <c r="H6" s="1541"/>
      <c r="I6" s="1541"/>
      <c r="J6" s="1542"/>
      <c r="K6" s="492"/>
      <c r="L6" s="492"/>
      <c r="M6" s="83"/>
      <c r="N6" s="74"/>
    </row>
    <row r="7" spans="1:16" ht="18" customHeight="1" thickBot="1">
      <c r="A7" t="s">
        <v>1774</v>
      </c>
      <c r="B7" s="8"/>
      <c r="C7" s="8"/>
      <c r="D7" t="s">
        <v>913</v>
      </c>
      <c r="F7" s="8"/>
      <c r="H7" s="327">
        <v>0</v>
      </c>
      <c r="I7" s="571" t="s">
        <v>914</v>
      </c>
      <c r="J7" s="572"/>
      <c r="K7" s="190"/>
      <c r="L7" s="573" t="str">
        <f>IF(H7&lt;&gt;"","○","×")</f>
        <v>○</v>
      </c>
      <c r="M7" s="83"/>
      <c r="N7" s="74"/>
      <c r="O7" s="372">
        <v>0</v>
      </c>
      <c r="P7" s="373">
        <v>50</v>
      </c>
    </row>
    <row r="8" spans="1:16" ht="18" customHeight="1" thickBot="1">
      <c r="A8" s="574"/>
      <c r="B8" s="8"/>
      <c r="C8" s="8"/>
      <c r="D8" t="s">
        <v>915</v>
      </c>
      <c r="F8" s="8"/>
      <c r="H8" s="327">
        <v>1</v>
      </c>
      <c r="I8" s="571" t="s">
        <v>914</v>
      </c>
      <c r="J8" s="572"/>
      <c r="K8" s="190"/>
      <c r="L8" s="573" t="str">
        <f>IF(H8&lt;&gt;"","○","×")</f>
        <v>○</v>
      </c>
      <c r="M8" s="83"/>
      <c r="N8" s="74"/>
      <c r="O8" s="372">
        <v>0</v>
      </c>
      <c r="P8" s="373">
        <v>50</v>
      </c>
    </row>
    <row r="9" spans="1:16" ht="29.25" customHeight="1">
      <c r="A9" s="575" t="s">
        <v>916</v>
      </c>
      <c r="B9" s="1548" t="s">
        <v>917</v>
      </c>
      <c r="C9" s="1548"/>
      <c r="D9" s="1548"/>
      <c r="E9" s="1548"/>
      <c r="F9" s="1548"/>
      <c r="G9" s="1548"/>
      <c r="H9" s="1548"/>
      <c r="I9" s="1548"/>
      <c r="J9" s="1549"/>
      <c r="K9" s="492"/>
      <c r="L9" s="576"/>
      <c r="M9" s="83"/>
      <c r="N9" s="74"/>
    </row>
    <row r="10" spans="1:16" ht="18.75" customHeight="1">
      <c r="A10" s="577" t="s">
        <v>918</v>
      </c>
      <c r="B10" s="1550" t="s">
        <v>919</v>
      </c>
      <c r="C10" s="1550"/>
      <c r="D10" s="1550"/>
      <c r="E10" s="1550"/>
      <c r="F10" s="1550"/>
      <c r="G10" s="1550"/>
      <c r="H10" s="1550"/>
      <c r="I10" s="1550"/>
      <c r="J10" s="1551"/>
      <c r="K10" s="492"/>
      <c r="L10" s="576"/>
      <c r="M10" s="83"/>
      <c r="N10" s="74"/>
    </row>
    <row r="11" spans="1:16" ht="20.100000000000001" customHeight="1" thickBot="1">
      <c r="A11" s="578" t="s">
        <v>1442</v>
      </c>
      <c r="B11" s="579"/>
      <c r="C11" s="579"/>
      <c r="D11" s="579"/>
      <c r="E11" s="579"/>
      <c r="F11" s="579"/>
      <c r="G11" s="579"/>
      <c r="H11" s="579"/>
      <c r="I11" s="454"/>
      <c r="J11" s="580"/>
      <c r="K11" s="492"/>
      <c r="L11" s="576"/>
      <c r="M11" s="83"/>
      <c r="N11" s="74"/>
    </row>
    <row r="12" spans="1:16" ht="20.100000000000001" customHeight="1" thickBot="1">
      <c r="A12" s="1552" t="s">
        <v>920</v>
      </c>
      <c r="B12" s="1552"/>
      <c r="C12" s="1552"/>
      <c r="D12" s="1552"/>
      <c r="E12" s="1552"/>
      <c r="F12" s="1553"/>
      <c r="G12" s="581"/>
      <c r="H12" s="327">
        <v>0</v>
      </c>
      <c r="I12" s="582" t="s">
        <v>895</v>
      </c>
      <c r="J12" s="572"/>
      <c r="K12" s="190"/>
      <c r="L12" s="587" t="str">
        <f>IF(AND(H12&lt;&gt;0,H12=""),"×","○")</f>
        <v>○</v>
      </c>
      <c r="M12" s="83"/>
      <c r="N12" s="74"/>
      <c r="O12" s="372">
        <v>0</v>
      </c>
      <c r="P12" s="373">
        <v>10</v>
      </c>
    </row>
    <row r="13" spans="1:16" ht="20.100000000000001" customHeight="1" thickBot="1">
      <c r="A13" s="1554" t="s">
        <v>1772</v>
      </c>
      <c r="B13" s="1554"/>
      <c r="C13" s="1554"/>
      <c r="D13" s="1554"/>
      <c r="E13" s="1554"/>
      <c r="F13" s="1555"/>
      <c r="G13" s="583"/>
      <c r="H13" s="327">
        <v>0</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52" t="s">
        <v>922</v>
      </c>
      <c r="B15" s="1552"/>
      <c r="C15" s="1552"/>
      <c r="D15" s="1552"/>
      <c r="E15" s="1552"/>
      <c r="F15" s="1553"/>
      <c r="G15" s="581"/>
      <c r="H15" s="37" t="s">
        <v>1805</v>
      </c>
      <c r="I15" s="582"/>
      <c r="J15" s="572"/>
      <c r="K15" s="190"/>
      <c r="L15" s="573" t="str">
        <f>IF(H15&lt;&gt;"","○","×")</f>
        <v>○</v>
      </c>
      <c r="M15" s="83"/>
      <c r="N15" s="74"/>
    </row>
    <row r="16" spans="1:16" ht="20.100000000000001" customHeight="1" thickBot="1">
      <c r="A16" s="1543" t="s">
        <v>1773</v>
      </c>
      <c r="B16" s="1543"/>
      <c r="C16" s="1543"/>
      <c r="D16" s="1543"/>
      <c r="E16" s="1543"/>
      <c r="F16" s="1544"/>
      <c r="G16" s="586"/>
      <c r="H16" s="327">
        <v>2</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45"/>
      <c r="B18" s="1546"/>
      <c r="C18" s="1546"/>
      <c r="D18" s="1546"/>
      <c r="E18" s="1546"/>
      <c r="F18" s="1546"/>
      <c r="G18" s="1546"/>
      <c r="H18" s="1546"/>
      <c r="I18" s="1547"/>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B13" sqref="B13"/>
    </sheetView>
  </sheetViews>
  <sheetFormatPr defaultColWidth="8.88671875" defaultRowHeight="18"/>
  <cols>
    <col min="1" max="1" width="4.6640625" style="591" customWidth="1"/>
    <col min="2" max="2" width="17.6640625" style="591" customWidth="1"/>
    <col min="3" max="3" width="15.77734375" style="612" customWidth="1"/>
    <col min="4" max="4" width="15.21875" style="591" customWidth="1"/>
    <col min="5" max="5" width="11.88671875" style="591" customWidth="1"/>
    <col min="6" max="6" width="39.21875" style="591" customWidth="1"/>
    <col min="7" max="7" width="2.77734375" style="591" customWidth="1"/>
    <col min="8" max="8" width="6" style="591" hidden="1" customWidth="1"/>
    <col min="9" max="9" width="2.21875" style="602" customWidth="1"/>
    <col min="10" max="10" width="82.77734375" style="594" bestFit="1" customWidth="1"/>
    <col min="11" max="16384" width="8.88671875" style="591"/>
  </cols>
  <sheetData>
    <row r="1" spans="1:10">
      <c r="A1" s="1561" t="s">
        <v>1757</v>
      </c>
      <c r="B1" s="1561"/>
      <c r="C1" s="1561"/>
      <c r="D1" s="1561"/>
      <c r="E1" s="1561"/>
      <c r="F1" s="1561"/>
      <c r="G1" s="589"/>
      <c r="H1" s="589"/>
      <c r="I1" s="84"/>
      <c r="J1" s="590"/>
    </row>
    <row r="2" spans="1:10" ht="6" customHeight="1" thickBot="1">
      <c r="A2" s="592"/>
      <c r="B2" s="592"/>
      <c r="C2" s="592"/>
      <c r="D2" s="592"/>
      <c r="E2" s="592"/>
      <c r="F2" s="592"/>
      <c r="G2" s="589"/>
      <c r="H2" s="589"/>
      <c r="I2" s="84"/>
      <c r="J2" s="590"/>
    </row>
    <row r="3" spans="1:10" ht="20.25" customHeight="1" thickTop="1" thickBot="1">
      <c r="A3" s="1435" t="s">
        <v>865</v>
      </c>
      <c r="B3" s="1435"/>
      <c r="C3" s="1435"/>
      <c r="D3" s="1435"/>
      <c r="E3" s="1436"/>
      <c r="F3" s="427" t="str">
        <f>IF(COUNTIF(H13:H42,"×")&gt;=1,"未入力あり","入力済")</f>
        <v>入力済</v>
      </c>
      <c r="G3" s="1556"/>
      <c r="H3" s="593"/>
      <c r="I3" s="84"/>
    </row>
    <row r="4" spans="1:10" ht="18.600000000000001" thickTop="1">
      <c r="A4" s="1562"/>
      <c r="B4" s="1562"/>
      <c r="C4" s="1562"/>
      <c r="D4" s="1562"/>
      <c r="E4" s="1562"/>
      <c r="F4" s="1562"/>
      <c r="G4" s="1556"/>
      <c r="H4" s="593"/>
      <c r="I4" s="84"/>
    </row>
    <row r="5" spans="1:10">
      <c r="A5" s="589"/>
      <c r="B5" s="589"/>
      <c r="C5" s="595"/>
      <c r="D5" s="589"/>
      <c r="E5" s="925" t="s">
        <v>763</v>
      </c>
      <c r="F5" s="597" t="str">
        <f>表紙!E2</f>
        <v>公益財団法人　日本生命済生会　日本生命病院</v>
      </c>
      <c r="G5" s="1556"/>
      <c r="H5" s="593"/>
      <c r="I5" s="598"/>
      <c r="J5" s="177" t="s">
        <v>924</v>
      </c>
    </row>
    <row r="6" spans="1:10">
      <c r="A6" s="589"/>
      <c r="B6" s="589"/>
      <c r="C6" s="595"/>
      <c r="D6" s="589"/>
      <c r="E6" s="1140" t="s">
        <v>1640</v>
      </c>
      <c r="F6" s="599" t="str">
        <f>別紙1未充足要件!E5</f>
        <v>令和６年９月１日時点</v>
      </c>
      <c r="G6" s="1556"/>
      <c r="H6" s="593"/>
      <c r="I6" s="600"/>
      <c r="J6" s="167"/>
    </row>
    <row r="7" spans="1:10">
      <c r="A7" s="601" t="s">
        <v>926</v>
      </c>
      <c r="B7" s="589"/>
      <c r="C7" s="595"/>
      <c r="D7" s="589"/>
      <c r="E7" s="596"/>
      <c r="F7" s="602"/>
      <c r="G7" s="589"/>
      <c r="H7" s="589"/>
      <c r="I7" s="600"/>
      <c r="J7" s="167"/>
    </row>
    <row r="8" spans="1:10" ht="25.5" customHeight="1">
      <c r="A8" s="603"/>
      <c r="B8" s="1560" t="s">
        <v>1758</v>
      </c>
      <c r="C8" s="1560"/>
      <c r="D8" s="1560"/>
      <c r="E8" s="1560"/>
      <c r="F8" s="1560"/>
      <c r="G8" s="589"/>
      <c r="H8" s="589"/>
      <c r="I8" s="600"/>
      <c r="J8" s="167"/>
    </row>
    <row r="9" spans="1:10" ht="19.5" customHeight="1">
      <c r="A9" s="603"/>
      <c r="B9" s="604"/>
      <c r="C9" s="604"/>
      <c r="D9" s="604"/>
      <c r="E9" s="604"/>
      <c r="F9" s="604"/>
      <c r="G9" s="589"/>
      <c r="H9" s="589"/>
      <c r="I9" s="600"/>
      <c r="J9" s="167"/>
    </row>
    <row r="10" spans="1:10" ht="19.5" customHeight="1" thickBot="1">
      <c r="A10" s="1563" t="s">
        <v>927</v>
      </c>
      <c r="B10" s="1564"/>
      <c r="C10" s="1564"/>
      <c r="D10" s="1564"/>
      <c r="E10" s="1564"/>
      <c r="F10" s="1564"/>
      <c r="G10" s="602"/>
      <c r="H10" s="602"/>
      <c r="J10" s="167"/>
    </row>
    <row r="11" spans="1:10" ht="27" customHeight="1" thickBot="1">
      <c r="A11" s="605"/>
      <c r="B11" s="606" t="s">
        <v>928</v>
      </c>
      <c r="C11" s="606" t="s">
        <v>929</v>
      </c>
      <c r="D11" s="1558" t="s">
        <v>930</v>
      </c>
      <c r="E11" s="1558"/>
      <c r="F11" s="1558"/>
      <c r="G11" s="602"/>
      <c r="H11" s="602"/>
      <c r="J11" s="167"/>
    </row>
    <row r="12" spans="1:10" ht="21" customHeight="1" thickBot="1">
      <c r="A12" s="607" t="s">
        <v>931</v>
      </c>
      <c r="B12" s="608" t="s">
        <v>932</v>
      </c>
      <c r="C12" s="607" t="s">
        <v>933</v>
      </c>
      <c r="D12" s="1559" t="s">
        <v>934</v>
      </c>
      <c r="E12" s="1559"/>
      <c r="F12" s="1559"/>
      <c r="G12" s="602"/>
      <c r="H12" s="602"/>
      <c r="J12" s="167"/>
    </row>
    <row r="13" spans="1:10" ht="21" customHeight="1" thickBot="1">
      <c r="A13" s="609">
        <v>1</v>
      </c>
      <c r="B13" s="101" t="s">
        <v>1891</v>
      </c>
      <c r="C13" s="52" t="s">
        <v>1879</v>
      </c>
      <c r="D13" s="1557" t="s">
        <v>1892</v>
      </c>
      <c r="E13" s="1557"/>
      <c r="F13" s="1557"/>
      <c r="G13" s="602"/>
      <c r="H13" s="591" t="str">
        <f>IF(AND(B13&lt;&gt;"",C13&lt;&gt;""),"○","×")</f>
        <v>○</v>
      </c>
      <c r="J13" s="167"/>
    </row>
    <row r="14" spans="1:10" ht="21" customHeight="1" thickBot="1">
      <c r="A14" s="609">
        <v>2</v>
      </c>
      <c r="B14" s="101" t="s">
        <v>1893</v>
      </c>
      <c r="C14" s="52" t="s">
        <v>1879</v>
      </c>
      <c r="D14" s="1557"/>
      <c r="E14" s="1557"/>
      <c r="F14" s="1557"/>
      <c r="G14" s="602"/>
      <c r="H14" s="602"/>
      <c r="J14" s="167"/>
    </row>
    <row r="15" spans="1:10" ht="21" customHeight="1" thickBot="1">
      <c r="A15" s="609">
        <v>3</v>
      </c>
      <c r="B15" s="101" t="s">
        <v>1894</v>
      </c>
      <c r="C15" s="52" t="s">
        <v>1879</v>
      </c>
      <c r="D15" s="1557"/>
      <c r="E15" s="1557"/>
      <c r="F15" s="1557"/>
      <c r="G15" s="602"/>
      <c r="H15" s="602"/>
      <c r="J15" s="167"/>
    </row>
    <row r="16" spans="1:10" ht="21" customHeight="1" thickBot="1">
      <c r="A16" s="609">
        <v>4</v>
      </c>
      <c r="B16" s="101" t="s">
        <v>1895</v>
      </c>
      <c r="C16" s="52" t="s">
        <v>1879</v>
      </c>
      <c r="D16" s="1557"/>
      <c r="E16" s="1557"/>
      <c r="F16" s="1557"/>
      <c r="G16" s="602"/>
      <c r="H16" s="602"/>
      <c r="J16" s="167"/>
    </row>
    <row r="17" spans="1:10" ht="21" customHeight="1" thickBot="1">
      <c r="A17" s="609">
        <v>5</v>
      </c>
      <c r="B17" s="101" t="s">
        <v>1897</v>
      </c>
      <c r="C17" s="52" t="s">
        <v>1879</v>
      </c>
      <c r="D17" s="1557" t="s">
        <v>1896</v>
      </c>
      <c r="E17" s="1557"/>
      <c r="F17" s="1557"/>
      <c r="G17" s="602"/>
      <c r="H17" s="602"/>
      <c r="J17" s="167"/>
    </row>
    <row r="18" spans="1:10" ht="21" customHeight="1" thickBot="1">
      <c r="A18" s="609">
        <v>6</v>
      </c>
      <c r="B18" s="101" t="s">
        <v>1897</v>
      </c>
      <c r="C18" s="52" t="s">
        <v>1879</v>
      </c>
      <c r="D18" s="1557" t="s">
        <v>1896</v>
      </c>
      <c r="E18" s="1557"/>
      <c r="F18" s="1557"/>
      <c r="G18" s="602"/>
      <c r="H18" s="602"/>
      <c r="J18" s="167"/>
    </row>
    <row r="19" spans="1:10" ht="21" customHeight="1" thickBot="1">
      <c r="A19" s="609">
        <v>7</v>
      </c>
      <c r="B19" s="101"/>
      <c r="C19" s="52"/>
      <c r="D19" s="1557"/>
      <c r="E19" s="1557"/>
      <c r="F19" s="1557"/>
      <c r="G19" s="602"/>
      <c r="H19" s="602"/>
      <c r="J19" s="167"/>
    </row>
    <row r="20" spans="1:10" ht="21" customHeight="1" thickBot="1">
      <c r="A20" s="609">
        <v>8</v>
      </c>
      <c r="B20" s="101"/>
      <c r="C20" s="52"/>
      <c r="D20" s="1557"/>
      <c r="E20" s="1557"/>
      <c r="F20" s="1557"/>
      <c r="G20" s="602"/>
      <c r="H20" s="602"/>
      <c r="J20" s="167"/>
    </row>
    <row r="21" spans="1:10" ht="21" customHeight="1" thickBot="1">
      <c r="A21" s="609">
        <v>9</v>
      </c>
      <c r="B21" s="101"/>
      <c r="C21" s="52"/>
      <c r="D21" s="1557"/>
      <c r="E21" s="1557"/>
      <c r="F21" s="1557"/>
      <c r="G21" s="602"/>
      <c r="H21" s="602"/>
      <c r="J21" s="167"/>
    </row>
    <row r="22" spans="1:10" ht="21" customHeight="1" thickBot="1">
      <c r="A22" s="609">
        <v>10</v>
      </c>
      <c r="B22" s="101"/>
      <c r="C22" s="52"/>
      <c r="D22" s="1557"/>
      <c r="E22" s="1557"/>
      <c r="F22" s="1557"/>
      <c r="G22" s="602"/>
      <c r="H22" s="602"/>
      <c r="J22" s="167"/>
    </row>
    <row r="23" spans="1:10" ht="21" customHeight="1" thickBot="1">
      <c r="A23" s="609">
        <v>11</v>
      </c>
      <c r="B23" s="101"/>
      <c r="C23" s="52"/>
      <c r="D23" s="1557"/>
      <c r="E23" s="1557"/>
      <c r="F23" s="1557"/>
      <c r="G23" s="602"/>
      <c r="H23" s="602"/>
      <c r="J23" s="167"/>
    </row>
    <row r="24" spans="1:10" ht="21" customHeight="1" thickBot="1">
      <c r="A24" s="609">
        <v>12</v>
      </c>
      <c r="B24" s="101"/>
      <c r="C24" s="52"/>
      <c r="D24" s="1557"/>
      <c r="E24" s="1557"/>
      <c r="F24" s="1557"/>
      <c r="G24" s="602"/>
      <c r="H24" s="602"/>
      <c r="J24" s="167"/>
    </row>
    <row r="25" spans="1:10" ht="21" customHeight="1" thickBot="1">
      <c r="A25" s="609">
        <v>13</v>
      </c>
      <c r="B25" s="101"/>
      <c r="C25" s="52"/>
      <c r="D25" s="1557"/>
      <c r="E25" s="1557"/>
      <c r="F25" s="1557"/>
      <c r="G25" s="602"/>
      <c r="H25" s="602"/>
      <c r="J25" s="167"/>
    </row>
    <row r="26" spans="1:10" ht="21" customHeight="1" thickBot="1">
      <c r="A26" s="609">
        <v>14</v>
      </c>
      <c r="B26" s="101"/>
      <c r="C26" s="52"/>
      <c r="D26" s="1557"/>
      <c r="E26" s="1557"/>
      <c r="F26" s="1557"/>
      <c r="G26" s="602"/>
      <c r="H26" s="602"/>
      <c r="J26" s="167"/>
    </row>
    <row r="27" spans="1:10" ht="21" customHeight="1" thickBot="1">
      <c r="A27" s="609">
        <v>15</v>
      </c>
      <c r="B27" s="101"/>
      <c r="C27" s="52"/>
      <c r="D27" s="1557"/>
      <c r="E27" s="1557"/>
      <c r="F27" s="1557"/>
      <c r="G27" s="602"/>
      <c r="H27" s="602"/>
      <c r="J27" s="167"/>
    </row>
    <row r="28" spans="1:10">
      <c r="A28" s="589"/>
      <c r="B28" s="589"/>
      <c r="C28" s="595"/>
      <c r="D28" s="589"/>
      <c r="E28" s="589"/>
      <c r="F28" s="589"/>
      <c r="G28" s="610" t="s">
        <v>935</v>
      </c>
      <c r="H28" s="610"/>
      <c r="I28" s="611"/>
      <c r="J28" s="168"/>
    </row>
    <row r="29" spans="1:10" ht="18.600000000000001" thickBot="1">
      <c r="A29" s="8" t="s">
        <v>1750</v>
      </c>
      <c r="B29" s="1210"/>
      <c r="C29" s="1211"/>
      <c r="D29" s="1210"/>
      <c r="E29" s="1210"/>
      <c r="F29" s="1210"/>
    </row>
    <row r="30" spans="1:10" ht="18.600000000000001" thickBot="1">
      <c r="A30" s="1568" t="s">
        <v>1751</v>
      </c>
      <c r="B30" s="1568"/>
      <c r="C30" s="1568"/>
      <c r="D30" s="1212">
        <v>5</v>
      </c>
      <c r="E30" s="1213" t="s">
        <v>1911</v>
      </c>
      <c r="F30" s="1210"/>
      <c r="H30" s="591" t="str">
        <f>IF(AND(D30&lt;&gt;"",E30&lt;&gt;""),"○","×")</f>
        <v>○</v>
      </c>
    </row>
    <row r="31" spans="1:10" ht="18.600000000000001" thickBot="1">
      <c r="A31" s="1568" t="s">
        <v>1752</v>
      </c>
      <c r="B31" s="1568"/>
      <c r="C31" s="1568"/>
      <c r="D31" s="1212">
        <v>1</v>
      </c>
      <c r="E31" s="1213" t="s">
        <v>1911</v>
      </c>
      <c r="F31" s="1210"/>
      <c r="H31" s="591" t="str">
        <f>IF(AND(D31&lt;&gt;"",E31&lt;&gt;""),"○","×")</f>
        <v>○</v>
      </c>
    </row>
    <row r="32" spans="1:10">
      <c r="A32" s="1210"/>
      <c r="B32" s="1210"/>
      <c r="C32" s="1211"/>
      <c r="D32" s="1210"/>
      <c r="E32" s="1210"/>
      <c r="F32" s="1210"/>
    </row>
    <row r="33" spans="1:8" ht="18.600000000000001" thickBot="1">
      <c r="A33" s="8" t="s">
        <v>1753</v>
      </c>
      <c r="B33" s="1210"/>
      <c r="C33" s="1211"/>
      <c r="D33" s="1210"/>
      <c r="E33" s="1210"/>
      <c r="F33" s="1210"/>
    </row>
    <row r="34" spans="1:8" ht="18.600000000000001" thickBot="1">
      <c r="A34" s="1569" t="s">
        <v>1754</v>
      </c>
      <c r="B34" s="1570"/>
      <c r="C34" s="1570"/>
      <c r="D34" s="1570"/>
      <c r="E34" s="1570"/>
      <c r="F34" s="1571"/>
    </row>
    <row r="35" spans="1:8" ht="18.600000000000001" thickBot="1">
      <c r="A35" s="1569"/>
      <c r="B35" s="1570"/>
      <c r="C35" s="1570"/>
      <c r="D35" s="1570"/>
      <c r="E35" s="1570"/>
      <c r="F35" s="1571"/>
    </row>
    <row r="36" spans="1:8" ht="18.600000000000001" thickBot="1">
      <c r="A36" s="1572" t="s">
        <v>1912</v>
      </c>
      <c r="B36" s="1573"/>
      <c r="C36" s="1573"/>
      <c r="D36" s="1573"/>
      <c r="E36" s="1573"/>
      <c r="F36" s="1574"/>
      <c r="H36" s="591" t="str">
        <f>IF(A36="","×","○")</f>
        <v>○</v>
      </c>
    </row>
    <row r="37" spans="1:8" ht="18.600000000000001" thickBot="1">
      <c r="A37" s="1572"/>
      <c r="B37" s="1573"/>
      <c r="C37" s="1573"/>
      <c r="D37" s="1573"/>
      <c r="E37" s="1573"/>
      <c r="F37" s="1574"/>
    </row>
    <row r="38" spans="1:8" ht="18.600000000000001" thickBot="1">
      <c r="A38" s="1569" t="s">
        <v>1755</v>
      </c>
      <c r="B38" s="1570"/>
      <c r="C38" s="1570"/>
      <c r="D38" s="1570"/>
      <c r="E38" s="1570"/>
      <c r="F38" s="1571"/>
    </row>
    <row r="39" spans="1:8" ht="18.600000000000001" thickBot="1">
      <c r="A39" s="1569"/>
      <c r="B39" s="1570"/>
      <c r="C39" s="1570"/>
      <c r="D39" s="1570"/>
      <c r="E39" s="1570"/>
      <c r="F39" s="1571"/>
    </row>
    <row r="40" spans="1:8" ht="18.600000000000001" thickBot="1">
      <c r="A40" s="1569"/>
      <c r="B40" s="1570"/>
      <c r="C40" s="1570"/>
      <c r="D40" s="1570"/>
      <c r="E40" s="1570"/>
      <c r="F40" s="1571"/>
    </row>
    <row r="41" spans="1:8" ht="18.600000000000001" thickBot="1">
      <c r="A41" s="1565" t="s">
        <v>1913</v>
      </c>
      <c r="B41" s="1566"/>
      <c r="C41" s="1566"/>
      <c r="D41" s="1566"/>
      <c r="E41" s="1566"/>
      <c r="F41" s="1567"/>
      <c r="H41" s="591" t="str">
        <f>IF(A41="","×","○")</f>
        <v>○</v>
      </c>
    </row>
    <row r="42" spans="1:8" ht="18.600000000000001" thickBot="1">
      <c r="A42" s="1565"/>
      <c r="B42" s="1566"/>
      <c r="C42" s="1566"/>
      <c r="D42" s="1566"/>
      <c r="E42" s="1566"/>
      <c r="F42" s="1567"/>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15" sqref="AC15"/>
    </sheetView>
  </sheetViews>
  <sheetFormatPr defaultColWidth="9" defaultRowHeight="12"/>
  <cols>
    <col min="1" max="1" width="3.6640625" style="8" customWidth="1"/>
    <col min="2" max="2" width="8.6640625" style="8" customWidth="1"/>
    <col min="3" max="3" width="5.6640625" style="8" customWidth="1"/>
    <col min="4" max="4" width="9" style="8" customWidth="1"/>
    <col min="5" max="6" width="9" style="8"/>
    <col min="7" max="7" width="9" style="8" customWidth="1"/>
    <col min="8" max="8" width="5.6640625" style="8" customWidth="1"/>
    <col min="9" max="15" width="2.6640625" style="8" customWidth="1"/>
    <col min="16" max="16" width="1.6640625" style="8" customWidth="1"/>
    <col min="17" max="24" width="2.6640625" style="8" customWidth="1"/>
    <col min="25" max="25" width="9" style="8"/>
    <col min="26" max="26" width="2.77734375" style="8" customWidth="1"/>
    <col min="27" max="27" width="6" style="8" hidden="1" customWidth="1"/>
    <col min="28" max="28" width="2.21875" style="51" customWidth="1"/>
    <col min="29" max="29" width="80.6640625" style="106" customWidth="1"/>
    <col min="30" max="16384" width="9" style="8"/>
  </cols>
  <sheetData>
    <row r="1" spans="1:29" ht="15.9" customHeight="1" thickBot="1">
      <c r="A1" s="1323" t="s">
        <v>936</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613"/>
      <c r="AA1" s="613"/>
      <c r="AB1" s="83"/>
      <c r="AC1" s="614"/>
    </row>
    <row r="2" spans="1:29" ht="24.9" customHeight="1" thickTop="1" thickBot="1">
      <c r="A2" s="1435" t="s">
        <v>910</v>
      </c>
      <c r="B2" s="1435"/>
      <c r="C2" s="1435"/>
      <c r="D2" s="1435"/>
      <c r="E2" s="1435"/>
      <c r="F2" s="1435"/>
      <c r="G2" s="1435"/>
      <c r="H2" s="1435"/>
      <c r="I2" s="1435"/>
      <c r="J2" s="1435"/>
      <c r="K2" s="1435"/>
      <c r="L2" s="1435"/>
      <c r="M2" s="1435"/>
      <c r="N2" s="1435"/>
      <c r="O2" s="1435"/>
      <c r="P2" s="1435"/>
      <c r="Q2" s="1435"/>
      <c r="R2" s="1435"/>
      <c r="S2" s="1435"/>
      <c r="T2" s="1435"/>
      <c r="U2" s="1435"/>
      <c r="V2" s="1435"/>
      <c r="W2" s="1435"/>
      <c r="X2" s="1436"/>
      <c r="Y2" s="427" t="str">
        <f>IF(COUNTIF(AA7:AA11,"×")&gt;=1,"未入力あり","入力済")</f>
        <v>入力済</v>
      </c>
      <c r="Z2" s="1330"/>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30"/>
      <c r="AA3" s="492"/>
    </row>
    <row r="4" spans="1:29" ht="20.25" customHeight="1">
      <c r="A4" s="477"/>
      <c r="B4" s="477"/>
      <c r="C4" s="477"/>
      <c r="D4" s="477"/>
      <c r="E4" s="477"/>
      <c r="F4" s="430" t="s">
        <v>757</v>
      </c>
      <c r="G4" s="1533">
        <f>表紙!A2</f>
        <v>0</v>
      </c>
      <c r="H4" s="1534"/>
      <c r="I4" s="1534"/>
      <c r="J4" s="1534"/>
      <c r="K4" s="1534"/>
      <c r="L4" s="1534"/>
      <c r="M4" s="1534"/>
      <c r="N4" s="1534"/>
      <c r="O4" s="1534"/>
      <c r="P4" s="1534"/>
      <c r="Q4" s="1534"/>
      <c r="R4" s="1534"/>
      <c r="S4" s="1534"/>
      <c r="T4" s="1534"/>
      <c r="U4" s="1534"/>
      <c r="V4" s="1534"/>
      <c r="W4" s="1534"/>
      <c r="X4" s="1534"/>
      <c r="Y4" s="1535"/>
      <c r="Z4" s="1330"/>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30"/>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501">
        <v>1</v>
      </c>
      <c r="B7" s="616" t="s">
        <v>937</v>
      </c>
      <c r="C7" s="617"/>
      <c r="D7" s="617"/>
      <c r="E7" s="617"/>
      <c r="F7" s="618"/>
      <c r="G7" s="618"/>
      <c r="H7" s="619"/>
      <c r="I7" s="1575" t="s">
        <v>1805</v>
      </c>
      <c r="J7" s="1576"/>
      <c r="K7" s="1576"/>
      <c r="L7" s="1576"/>
      <c r="M7" s="1577"/>
      <c r="N7" s="1592" t="s">
        <v>510</v>
      </c>
      <c r="O7" s="1593"/>
      <c r="P7" s="1593"/>
      <c r="Q7" s="1593"/>
      <c r="R7" s="1593"/>
      <c r="S7" s="1593"/>
      <c r="T7" s="1593"/>
      <c r="U7" s="620"/>
      <c r="V7" s="599"/>
      <c r="W7" s="599"/>
      <c r="X7" s="599"/>
      <c r="Y7" s="621"/>
      <c r="Z7" s="622"/>
      <c r="AA7" s="623" t="str">
        <f>IF(I7="","×","○")</f>
        <v>○</v>
      </c>
      <c r="AC7" s="163"/>
    </row>
    <row r="8" spans="1:29" ht="18" customHeight="1" thickBot="1">
      <c r="A8" s="1503"/>
      <c r="B8" s="624" t="s">
        <v>938</v>
      </c>
      <c r="C8" s="625"/>
      <c r="D8" s="625"/>
      <c r="E8" s="625"/>
      <c r="F8" s="544"/>
      <c r="G8" s="544"/>
      <c r="H8" s="545"/>
      <c r="I8" s="1575" t="s">
        <v>1805</v>
      </c>
      <c r="J8" s="1576"/>
      <c r="K8" s="1576"/>
      <c r="L8" s="1576"/>
      <c r="M8" s="1577"/>
      <c r="N8" s="1578" t="s">
        <v>510</v>
      </c>
      <c r="O8" s="1579"/>
      <c r="P8" s="1579"/>
      <c r="Q8" s="1579"/>
      <c r="R8" s="1579"/>
      <c r="S8" s="1579"/>
      <c r="T8" s="1579"/>
      <c r="U8" s="51"/>
      <c r="V8" s="49"/>
      <c r="W8" s="49"/>
      <c r="X8" s="49"/>
      <c r="Y8" s="626"/>
      <c r="Z8" s="622"/>
      <c r="AA8" s="623" t="str">
        <f>IF(AND(I7="はい",I8=""),"×","○")</f>
        <v>○</v>
      </c>
      <c r="AC8" s="163"/>
    </row>
    <row r="9" spans="1:29" ht="31.5" customHeight="1" thickBot="1">
      <c r="A9" s="1385">
        <v>2</v>
      </c>
      <c r="B9" s="1580" t="s">
        <v>939</v>
      </c>
      <c r="C9" s="1581"/>
      <c r="D9" s="1581"/>
      <c r="E9" s="1581"/>
      <c r="F9" s="1581"/>
      <c r="G9" s="1581"/>
      <c r="H9" s="1582"/>
      <c r="I9" s="1575" t="s">
        <v>1805</v>
      </c>
      <c r="J9" s="1576"/>
      <c r="K9" s="1576"/>
      <c r="L9" s="1576"/>
      <c r="M9" s="1577"/>
      <c r="N9" s="1578" t="s">
        <v>510</v>
      </c>
      <c r="O9" s="1579"/>
      <c r="P9" s="1579"/>
      <c r="Q9" s="1579"/>
      <c r="R9" s="1579"/>
      <c r="S9" s="1579"/>
      <c r="T9" s="1579"/>
      <c r="V9" s="49"/>
      <c r="W9" s="49"/>
      <c r="X9" s="49"/>
      <c r="Y9" s="626"/>
      <c r="Z9" s="51"/>
      <c r="AA9" s="623" t="str">
        <f>IF(AND(I7="はい",I9=""),"×","○")</f>
        <v>○</v>
      </c>
      <c r="AC9" s="163"/>
    </row>
    <row r="10" spans="1:29" ht="13.2">
      <c r="A10" s="1386"/>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386"/>
      <c r="B11" s="1583" t="s">
        <v>1819</v>
      </c>
      <c r="C11" s="1584"/>
      <c r="D11" s="1584"/>
      <c r="E11" s="1584"/>
      <c r="F11" s="1584"/>
      <c r="G11" s="1584"/>
      <c r="H11" s="1584"/>
      <c r="I11" s="1584"/>
      <c r="J11" s="1584"/>
      <c r="K11" s="1584"/>
      <c r="L11" s="1584"/>
      <c r="M11" s="1584"/>
      <c r="N11" s="1584"/>
      <c r="O11" s="1584"/>
      <c r="P11" s="1584"/>
      <c r="Q11" s="1584"/>
      <c r="R11" s="1584"/>
      <c r="S11" s="1584"/>
      <c r="T11" s="1584"/>
      <c r="U11" s="1584"/>
      <c r="V11" s="1584"/>
      <c r="W11" s="1584"/>
      <c r="X11" s="1585"/>
      <c r="Y11" s="629"/>
      <c r="Z11" s="51"/>
      <c r="AA11" s="628" t="str">
        <f>IF(AND(I9="はい",B11=""),"×","○")</f>
        <v>○</v>
      </c>
      <c r="AC11" s="74"/>
    </row>
    <row r="12" spans="1:29">
      <c r="A12" s="1386"/>
      <c r="B12" s="1586"/>
      <c r="C12" s="1587"/>
      <c r="D12" s="1587"/>
      <c r="E12" s="1587"/>
      <c r="F12" s="1587"/>
      <c r="G12" s="1587"/>
      <c r="H12" s="1587"/>
      <c r="I12" s="1587"/>
      <c r="J12" s="1587"/>
      <c r="K12" s="1587"/>
      <c r="L12" s="1587"/>
      <c r="M12" s="1587"/>
      <c r="N12" s="1587"/>
      <c r="O12" s="1587"/>
      <c r="P12" s="1587"/>
      <c r="Q12" s="1587"/>
      <c r="R12" s="1587"/>
      <c r="S12" s="1587"/>
      <c r="T12" s="1587"/>
      <c r="U12" s="1587"/>
      <c r="V12" s="1587"/>
      <c r="W12" s="1587"/>
      <c r="X12" s="1588"/>
      <c r="Y12" s="629"/>
      <c r="Z12" s="51"/>
      <c r="AA12" s="51"/>
      <c r="AC12" s="74"/>
    </row>
    <row r="13" spans="1:29">
      <c r="A13" s="1386"/>
      <c r="B13" s="1586"/>
      <c r="C13" s="1587"/>
      <c r="D13" s="1587"/>
      <c r="E13" s="1587"/>
      <c r="F13" s="1587"/>
      <c r="G13" s="1587"/>
      <c r="H13" s="1587"/>
      <c r="I13" s="1587"/>
      <c r="J13" s="1587"/>
      <c r="K13" s="1587"/>
      <c r="L13" s="1587"/>
      <c r="M13" s="1587"/>
      <c r="N13" s="1587"/>
      <c r="O13" s="1587"/>
      <c r="P13" s="1587"/>
      <c r="Q13" s="1587"/>
      <c r="R13" s="1587"/>
      <c r="S13" s="1587"/>
      <c r="T13" s="1587"/>
      <c r="U13" s="1587"/>
      <c r="V13" s="1587"/>
      <c r="W13" s="1587"/>
      <c r="X13" s="1588"/>
      <c r="Y13" s="629"/>
      <c r="Z13" s="51"/>
      <c r="AA13" s="51"/>
      <c r="AC13" s="74"/>
    </row>
    <row r="14" spans="1:29">
      <c r="A14" s="1386"/>
      <c r="B14" s="1586"/>
      <c r="C14" s="1587"/>
      <c r="D14" s="1587"/>
      <c r="E14" s="1587"/>
      <c r="F14" s="1587"/>
      <c r="G14" s="1587"/>
      <c r="H14" s="1587"/>
      <c r="I14" s="1587"/>
      <c r="J14" s="1587"/>
      <c r="K14" s="1587"/>
      <c r="L14" s="1587"/>
      <c r="M14" s="1587"/>
      <c r="N14" s="1587"/>
      <c r="O14" s="1587"/>
      <c r="P14" s="1587"/>
      <c r="Q14" s="1587"/>
      <c r="R14" s="1587"/>
      <c r="S14" s="1587"/>
      <c r="T14" s="1587"/>
      <c r="U14" s="1587"/>
      <c r="V14" s="1587"/>
      <c r="W14" s="1587"/>
      <c r="X14" s="1588"/>
      <c r="Y14" s="629"/>
      <c r="Z14" s="51"/>
      <c r="AA14" s="51"/>
      <c r="AC14" s="74"/>
    </row>
    <row r="15" spans="1:29">
      <c r="A15" s="1387"/>
      <c r="B15" s="1589"/>
      <c r="C15" s="1590"/>
      <c r="D15" s="1590"/>
      <c r="E15" s="1590"/>
      <c r="F15" s="1590"/>
      <c r="G15" s="1590"/>
      <c r="H15" s="1590"/>
      <c r="I15" s="1590"/>
      <c r="J15" s="1590"/>
      <c r="K15" s="1590"/>
      <c r="L15" s="1590"/>
      <c r="M15" s="1590"/>
      <c r="N15" s="1590"/>
      <c r="O15" s="1590"/>
      <c r="P15" s="1590"/>
      <c r="Q15" s="1590"/>
      <c r="R15" s="1590"/>
      <c r="S15" s="1590"/>
      <c r="T15" s="1590"/>
      <c r="U15" s="1590"/>
      <c r="V15" s="1590"/>
      <c r="W15" s="1590"/>
      <c r="X15" s="1591"/>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20" zoomScaleNormal="100" zoomScaleSheetLayoutView="100" workbookViewId="0">
      <selection activeCell="B28" sqref="B28:Y28"/>
    </sheetView>
  </sheetViews>
  <sheetFormatPr defaultColWidth="9" defaultRowHeight="12"/>
  <cols>
    <col min="1" max="1" width="3.6640625" style="8" customWidth="1"/>
    <col min="2" max="2" width="8.6640625" style="8" customWidth="1"/>
    <col min="3" max="3" width="5.6640625" style="8" customWidth="1"/>
    <col min="4" max="4" width="6.6640625" style="8" customWidth="1"/>
    <col min="5" max="5" width="18.77734375" style="8" customWidth="1"/>
    <col min="6" max="6" width="9" style="8"/>
    <col min="7" max="15" width="2.6640625" style="8" customWidth="1"/>
    <col min="16" max="16" width="1.6640625" style="8" customWidth="1"/>
    <col min="17" max="24" width="2.6640625" style="8" customWidth="1"/>
    <col min="25" max="25" width="25.6640625" style="8" customWidth="1"/>
    <col min="26" max="26" width="2.6640625" style="8" customWidth="1"/>
    <col min="27" max="27" width="8.77734375" style="8" hidden="1" customWidth="1"/>
    <col min="28" max="28" width="2.21875" style="51" customWidth="1"/>
    <col min="29" max="29" width="80.6640625" style="106" customWidth="1"/>
    <col min="30" max="16384" width="9" style="8"/>
  </cols>
  <sheetData>
    <row r="1" spans="1:29" ht="15.9" customHeight="1" thickBot="1">
      <c r="A1" s="1323" t="s">
        <v>941</v>
      </c>
      <c r="B1" s="1323"/>
      <c r="C1" s="1323"/>
      <c r="D1" s="1323"/>
      <c r="E1" s="1323"/>
      <c r="F1" s="1323"/>
      <c r="G1" s="1323"/>
      <c r="H1" s="1323"/>
      <c r="I1" s="1323"/>
      <c r="J1" s="1323"/>
      <c r="K1" s="1323"/>
      <c r="L1" s="1323"/>
      <c r="M1" s="1323"/>
      <c r="N1" s="1323"/>
      <c r="O1" s="1323"/>
      <c r="P1" s="1323"/>
      <c r="Q1" s="1323"/>
      <c r="R1" s="1323"/>
      <c r="S1" s="1323"/>
      <c r="T1" s="1323"/>
      <c r="U1" s="1323"/>
      <c r="V1" s="1323"/>
      <c r="W1" s="1323"/>
      <c r="X1" s="1323"/>
      <c r="Y1" s="1323"/>
      <c r="Z1" s="613"/>
      <c r="AA1" s="613"/>
      <c r="AB1" s="83"/>
      <c r="AC1" s="614"/>
    </row>
    <row r="2" spans="1:29" ht="24.9" customHeight="1" thickTop="1" thickBot="1">
      <c r="A2" s="1435" t="s">
        <v>865</v>
      </c>
      <c r="B2" s="1435"/>
      <c r="C2" s="1435"/>
      <c r="D2" s="1435"/>
      <c r="E2" s="1435"/>
      <c r="F2" s="1435"/>
      <c r="G2" s="1435"/>
      <c r="H2" s="1435"/>
      <c r="I2" s="1435"/>
      <c r="J2" s="1435"/>
      <c r="K2" s="1435"/>
      <c r="L2" s="1435"/>
      <c r="M2" s="1435"/>
      <c r="N2" s="1435"/>
      <c r="O2" s="1435"/>
      <c r="P2" s="1435"/>
      <c r="Q2" s="1435"/>
      <c r="R2" s="1435"/>
      <c r="S2" s="1435"/>
      <c r="T2" s="1435"/>
      <c r="U2" s="1435"/>
      <c r="V2" s="1435"/>
      <c r="W2" s="1435"/>
      <c r="X2" s="1436"/>
      <c r="Y2" s="427" t="str">
        <f>IF(COUNTIF(AA6:AA28,"×")&gt;=1,"未入力あり","入力済")</f>
        <v>入力済</v>
      </c>
      <c r="Z2" s="1330"/>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30"/>
      <c r="AA3" s="492"/>
    </row>
    <row r="4" spans="1:29" ht="20.25" customHeight="1">
      <c r="A4" s="477"/>
      <c r="B4" s="477"/>
      <c r="C4" s="477"/>
      <c r="D4" s="477"/>
      <c r="E4" s="477"/>
      <c r="F4" s="430" t="s">
        <v>757</v>
      </c>
      <c r="G4" s="1533" t="str">
        <f>表紙!E2</f>
        <v>公益財団法人　日本生命済生会　日本生命病院</v>
      </c>
      <c r="H4" s="1534"/>
      <c r="I4" s="1534"/>
      <c r="J4" s="1534"/>
      <c r="K4" s="1534"/>
      <c r="L4" s="1534"/>
      <c r="M4" s="1534"/>
      <c r="N4" s="1534"/>
      <c r="O4" s="1534"/>
      <c r="P4" s="1534"/>
      <c r="Q4" s="1534"/>
      <c r="R4" s="1534"/>
      <c r="S4" s="1534"/>
      <c r="T4" s="1534"/>
      <c r="U4" s="1534"/>
      <c r="V4" s="1534"/>
      <c r="W4" s="1534"/>
      <c r="X4" s="1534"/>
      <c r="Y4" s="1535"/>
      <c r="Z4" s="1330"/>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30"/>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94">
        <v>1</v>
      </c>
      <c r="B7" s="616" t="s">
        <v>942</v>
      </c>
      <c r="C7" s="617"/>
      <c r="D7" s="617"/>
      <c r="E7" s="617"/>
      <c r="F7" s="618"/>
      <c r="G7" s="618"/>
      <c r="H7" s="618"/>
      <c r="I7" s="617"/>
      <c r="J7" s="617"/>
      <c r="K7" s="617"/>
      <c r="L7" s="617"/>
      <c r="M7" s="617"/>
      <c r="N7" s="617"/>
      <c r="O7" s="617"/>
      <c r="P7" s="632"/>
      <c r="Q7" s="1575" t="s">
        <v>1805</v>
      </c>
      <c r="R7" s="1576"/>
      <c r="S7" s="1576"/>
      <c r="T7" s="1576"/>
      <c r="U7" s="1577"/>
      <c r="V7" s="551" t="s">
        <v>943</v>
      </c>
      <c r="W7" s="551"/>
      <c r="X7" s="551"/>
      <c r="Y7" s="552"/>
      <c r="Z7" s="633"/>
      <c r="AA7" s="8" t="str">
        <f>IF(Q7="","×","○")</f>
        <v>○</v>
      </c>
      <c r="AC7" s="74"/>
    </row>
    <row r="8" spans="1:29" ht="18" customHeight="1">
      <c r="A8" s="1342"/>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42"/>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42"/>
      <c r="B10" s="1598" t="s">
        <v>1850</v>
      </c>
      <c r="C10" s="1599"/>
      <c r="D10" s="1599"/>
      <c r="E10" s="1599"/>
      <c r="F10" s="1599"/>
      <c r="G10" s="1599"/>
      <c r="H10" s="1599"/>
      <c r="I10" s="1599"/>
      <c r="J10" s="1599"/>
      <c r="K10" s="1599"/>
      <c r="L10" s="1599"/>
      <c r="M10" s="1599"/>
      <c r="N10" s="1599"/>
      <c r="O10" s="1599"/>
      <c r="P10" s="1599"/>
      <c r="Q10" s="1599"/>
      <c r="R10" s="1599"/>
      <c r="S10" s="1599"/>
      <c r="T10" s="1599"/>
      <c r="U10" s="1599"/>
      <c r="V10" s="1599"/>
      <c r="W10" s="1599"/>
      <c r="X10" s="1599"/>
      <c r="Y10" s="1600"/>
      <c r="Z10" s="445"/>
      <c r="AA10" s="587" t="str">
        <f>IF(AND(Q7="はい",B10=""),"×","○")</f>
        <v>○</v>
      </c>
      <c r="AC10" s="74"/>
    </row>
    <row r="11" spans="1:29" ht="18" customHeight="1" thickBot="1">
      <c r="A11" s="1342"/>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5"/>
      <c r="B12" s="1598"/>
      <c r="C12" s="1599"/>
      <c r="D12" s="1599"/>
      <c r="E12" s="1599"/>
      <c r="F12" s="1599"/>
      <c r="G12" s="1599"/>
      <c r="H12" s="1599"/>
      <c r="I12" s="1599"/>
      <c r="J12" s="1599"/>
      <c r="K12" s="1599"/>
      <c r="L12" s="1599"/>
      <c r="M12" s="1599"/>
      <c r="N12" s="1599"/>
      <c r="O12" s="1599"/>
      <c r="P12" s="1599"/>
      <c r="Q12" s="1599"/>
      <c r="R12" s="1599"/>
      <c r="S12" s="1599"/>
      <c r="T12" s="1599"/>
      <c r="U12" s="1599"/>
      <c r="V12" s="1599"/>
      <c r="W12" s="1599"/>
      <c r="X12" s="1599"/>
      <c r="Y12" s="1600"/>
      <c r="Z12" s="445"/>
      <c r="AA12" s="587" t="str">
        <f>IF(AND(Q7="いいえ",B12=""),"×","○")</f>
        <v>○</v>
      </c>
      <c r="AC12" s="74"/>
    </row>
    <row r="13" spans="1:29" ht="18" customHeight="1" thickBot="1">
      <c r="A13" s="1596">
        <v>2</v>
      </c>
      <c r="B13" s="639" t="s">
        <v>948</v>
      </c>
      <c r="C13" s="640"/>
      <c r="D13" s="640"/>
      <c r="E13" s="640"/>
      <c r="F13" s="527"/>
      <c r="G13" s="527"/>
      <c r="H13" s="527"/>
      <c r="I13" s="640"/>
      <c r="J13" s="640"/>
      <c r="K13" s="640"/>
      <c r="L13" s="640"/>
      <c r="M13" s="640"/>
      <c r="N13" s="640"/>
      <c r="O13" s="640"/>
      <c r="P13" s="640"/>
      <c r="Q13" s="1575" t="s">
        <v>1804</v>
      </c>
      <c r="R13" s="1576"/>
      <c r="S13" s="1576"/>
      <c r="T13" s="1576"/>
      <c r="U13" s="1577"/>
      <c r="V13" s="426" t="s">
        <v>943</v>
      </c>
      <c r="W13" s="426"/>
      <c r="X13" s="426"/>
      <c r="Y13" s="553"/>
      <c r="Z13" s="633"/>
      <c r="AA13" s="8" t="str">
        <f>IF(Q13="","×","○")</f>
        <v>○</v>
      </c>
      <c r="AC13" s="74"/>
    </row>
    <row r="14" spans="1:29" ht="18" customHeight="1" thickBot="1">
      <c r="A14" s="1596"/>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7"/>
      <c r="B15" s="1598"/>
      <c r="C15" s="1599"/>
      <c r="D15" s="1599"/>
      <c r="E15" s="1599"/>
      <c r="F15" s="1599"/>
      <c r="G15" s="1599"/>
      <c r="H15" s="1599"/>
      <c r="I15" s="1599"/>
      <c r="J15" s="1599"/>
      <c r="K15" s="1599"/>
      <c r="L15" s="1599"/>
      <c r="M15" s="1599"/>
      <c r="N15" s="1599"/>
      <c r="O15" s="1599"/>
      <c r="P15" s="1599"/>
      <c r="Q15" s="1599"/>
      <c r="R15" s="1599"/>
      <c r="S15" s="1599"/>
      <c r="T15" s="1599"/>
      <c r="U15" s="1599"/>
      <c r="V15" s="1599"/>
      <c r="W15" s="1599"/>
      <c r="X15" s="1599"/>
      <c r="Y15" s="1600"/>
      <c r="Z15" s="445"/>
      <c r="AA15" s="587" t="str">
        <f>IF(AND(Q13="はい",B15=""),"×","○")</f>
        <v>○</v>
      </c>
      <c r="AC15" s="74"/>
    </row>
    <row r="16" spans="1:29" ht="18" customHeight="1" thickBot="1">
      <c r="A16" s="1596">
        <v>3</v>
      </c>
      <c r="B16" s="639" t="s">
        <v>950</v>
      </c>
      <c r="C16" s="640"/>
      <c r="D16" s="640"/>
      <c r="E16" s="640"/>
      <c r="F16" s="527"/>
      <c r="G16" s="527"/>
      <c r="H16" s="527"/>
      <c r="I16" s="640"/>
      <c r="J16" s="640"/>
      <c r="K16" s="640"/>
      <c r="L16" s="640"/>
      <c r="M16" s="640"/>
      <c r="N16" s="640"/>
      <c r="O16" s="640"/>
      <c r="P16" s="640"/>
      <c r="Q16" s="1575" t="s">
        <v>1805</v>
      </c>
      <c r="R16" s="1576"/>
      <c r="S16" s="1576"/>
      <c r="T16" s="1576"/>
      <c r="U16" s="1577"/>
      <c r="V16" s="1601" t="s">
        <v>943</v>
      </c>
      <c r="W16" s="1601"/>
      <c r="X16" s="1601"/>
      <c r="Y16" s="1602"/>
      <c r="Z16" s="633"/>
      <c r="AA16" s="8" t="str">
        <f>IF(Q16="","×","○")</f>
        <v>○</v>
      </c>
      <c r="AC16" s="74"/>
    </row>
    <row r="17" spans="1:29" ht="18" customHeight="1" thickBot="1">
      <c r="A17" s="1596"/>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7"/>
      <c r="B18" s="1598" t="s">
        <v>1851</v>
      </c>
      <c r="C18" s="1599"/>
      <c r="D18" s="1599"/>
      <c r="E18" s="1599"/>
      <c r="F18" s="1599"/>
      <c r="G18" s="1599"/>
      <c r="H18" s="1599"/>
      <c r="I18" s="1599"/>
      <c r="J18" s="1599"/>
      <c r="K18" s="1599"/>
      <c r="L18" s="1599"/>
      <c r="M18" s="1599"/>
      <c r="N18" s="1599"/>
      <c r="O18" s="1599"/>
      <c r="P18" s="1599"/>
      <c r="Q18" s="1599"/>
      <c r="R18" s="1599"/>
      <c r="S18" s="1599"/>
      <c r="T18" s="1599"/>
      <c r="U18" s="1599"/>
      <c r="V18" s="1599"/>
      <c r="W18" s="1599"/>
      <c r="X18" s="1599"/>
      <c r="Y18" s="1600"/>
      <c r="Z18" s="445"/>
      <c r="AA18" s="587" t="str">
        <f>IF(AND(Q16="はい",B18=""),"×","○")</f>
        <v>○</v>
      </c>
      <c r="AC18" s="74"/>
    </row>
    <row r="19" spans="1:29" ht="18" customHeight="1" thickBot="1">
      <c r="A19" s="1594">
        <v>4</v>
      </c>
      <c r="B19" s="616" t="s">
        <v>1725</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5"/>
      <c r="B20" s="1598" t="s">
        <v>1852</v>
      </c>
      <c r="C20" s="1599"/>
      <c r="D20" s="1599"/>
      <c r="E20" s="1599"/>
      <c r="F20" s="1599"/>
      <c r="G20" s="1599"/>
      <c r="H20" s="1599"/>
      <c r="I20" s="1599"/>
      <c r="J20" s="1599"/>
      <c r="K20" s="1599"/>
      <c r="L20" s="1599"/>
      <c r="M20" s="1599"/>
      <c r="N20" s="1599"/>
      <c r="O20" s="1599"/>
      <c r="P20" s="1599"/>
      <c r="Q20" s="1599"/>
      <c r="R20" s="1599"/>
      <c r="S20" s="1599"/>
      <c r="T20" s="1599"/>
      <c r="U20" s="1599"/>
      <c r="V20" s="1599"/>
      <c r="W20" s="1599"/>
      <c r="X20" s="1599"/>
      <c r="Y20" s="1600"/>
      <c r="Z20" s="445"/>
      <c r="AC20" s="74"/>
    </row>
    <row r="21" spans="1:29" ht="18" customHeight="1" thickBot="1">
      <c r="A21" s="1594">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5"/>
      <c r="B22" s="1603" t="s">
        <v>1853</v>
      </c>
      <c r="C22" s="1604"/>
      <c r="D22" s="1604"/>
      <c r="E22" s="1604"/>
      <c r="F22" s="1604"/>
      <c r="G22" s="1604"/>
      <c r="H22" s="1604"/>
      <c r="I22" s="1604"/>
      <c r="J22" s="1604"/>
      <c r="K22" s="1604"/>
      <c r="L22" s="1604"/>
      <c r="M22" s="1604"/>
      <c r="N22" s="1604"/>
      <c r="O22" s="1604"/>
      <c r="P22" s="1604"/>
      <c r="Q22" s="1604"/>
      <c r="R22" s="1604"/>
      <c r="S22" s="1604"/>
      <c r="T22" s="1604"/>
      <c r="U22" s="1604"/>
      <c r="V22" s="1604"/>
      <c r="W22" s="1604"/>
      <c r="X22" s="1604"/>
      <c r="Y22" s="1605"/>
      <c r="Z22" s="445"/>
      <c r="AC22" s="74"/>
    </row>
    <row r="23" spans="1:29" ht="18" customHeight="1" thickBot="1">
      <c r="A23" s="1594">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5"/>
      <c r="B24" s="1603" t="s">
        <v>1854</v>
      </c>
      <c r="C24" s="1604"/>
      <c r="D24" s="1604"/>
      <c r="E24" s="1604"/>
      <c r="F24" s="1604"/>
      <c r="G24" s="1604"/>
      <c r="H24" s="1604"/>
      <c r="I24" s="1604"/>
      <c r="J24" s="1604"/>
      <c r="K24" s="1604"/>
      <c r="L24" s="1604"/>
      <c r="M24" s="1604"/>
      <c r="N24" s="1604"/>
      <c r="O24" s="1604"/>
      <c r="P24" s="1604"/>
      <c r="Q24" s="1604"/>
      <c r="R24" s="1604"/>
      <c r="S24" s="1604"/>
      <c r="T24" s="1604"/>
      <c r="U24" s="1604"/>
      <c r="V24" s="1604"/>
      <c r="W24" s="1604"/>
      <c r="X24" s="1604"/>
      <c r="Y24" s="1605"/>
      <c r="Z24" s="445"/>
      <c r="AC24" s="74"/>
    </row>
    <row r="25" spans="1:29" ht="18" customHeight="1" thickBot="1">
      <c r="A25" s="1594">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5"/>
      <c r="B26" s="1598" t="s">
        <v>1855</v>
      </c>
      <c r="C26" s="1599"/>
      <c r="D26" s="1599"/>
      <c r="E26" s="1599"/>
      <c r="F26" s="1599"/>
      <c r="G26" s="1599"/>
      <c r="H26" s="1599"/>
      <c r="I26" s="1599"/>
      <c r="J26" s="1599"/>
      <c r="K26" s="1599"/>
      <c r="L26" s="1599"/>
      <c r="M26" s="1599"/>
      <c r="N26" s="1599"/>
      <c r="O26" s="1599"/>
      <c r="P26" s="1599"/>
      <c r="Q26" s="1599"/>
      <c r="R26" s="1599"/>
      <c r="S26" s="1599"/>
      <c r="T26" s="1599"/>
      <c r="U26" s="1599"/>
      <c r="V26" s="1599"/>
      <c r="W26" s="1599"/>
      <c r="X26" s="1599"/>
      <c r="Y26" s="1600"/>
      <c r="Z26" s="445"/>
      <c r="AC26" s="74"/>
    </row>
    <row r="27" spans="1:29" ht="18" customHeight="1" thickBot="1">
      <c r="A27" s="1596">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7"/>
      <c r="B28" s="1598" t="s">
        <v>1898</v>
      </c>
      <c r="C28" s="1599"/>
      <c r="D28" s="1599"/>
      <c r="E28" s="1599"/>
      <c r="F28" s="1599"/>
      <c r="G28" s="1599"/>
      <c r="H28" s="1599"/>
      <c r="I28" s="1599"/>
      <c r="J28" s="1599"/>
      <c r="K28" s="1599"/>
      <c r="L28" s="1599"/>
      <c r="M28" s="1599"/>
      <c r="N28" s="1599"/>
      <c r="O28" s="1599"/>
      <c r="P28" s="1599"/>
      <c r="Q28" s="1599"/>
      <c r="R28" s="1599"/>
      <c r="S28" s="1599"/>
      <c r="T28" s="1599"/>
      <c r="U28" s="1599"/>
      <c r="V28" s="1599"/>
      <c r="W28" s="1599"/>
      <c r="X28" s="1599"/>
      <c r="Y28" s="1600"/>
      <c r="Z28" s="44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L18" sqref="L18"/>
    </sheetView>
  </sheetViews>
  <sheetFormatPr defaultColWidth="9" defaultRowHeight="13.2"/>
  <cols>
    <col min="1" max="1" width="5.6640625" style="548" customWidth="1"/>
    <col min="2" max="2" width="34.21875" style="548" customWidth="1"/>
    <col min="3" max="6" width="20.6640625" style="548" customWidth="1"/>
    <col min="7" max="7" width="11.33203125" style="548" customWidth="1"/>
    <col min="8" max="8" width="2.6640625" style="548" customWidth="1"/>
    <col min="9" max="10" width="6" style="548" hidden="1" customWidth="1"/>
    <col min="11" max="11" width="2.21875" style="615" customWidth="1"/>
    <col min="12" max="12" width="82.77734375" style="692" bestFit="1" customWidth="1"/>
    <col min="13" max="14" width="0" style="548" hidden="1" customWidth="1"/>
    <col min="15" max="16384" width="9" style="548"/>
  </cols>
  <sheetData>
    <row r="1" spans="1:14" s="651" customFormat="1" ht="20.25" customHeight="1" thickBot="1">
      <c r="A1" s="1607" t="s">
        <v>956</v>
      </c>
      <c r="B1" s="1607"/>
      <c r="C1" s="1607"/>
      <c r="D1" s="1607"/>
      <c r="E1" s="1607"/>
      <c r="F1" s="1607"/>
      <c r="G1" s="1607"/>
      <c r="H1" s="650"/>
      <c r="I1" s="650"/>
      <c r="K1" s="83"/>
      <c r="L1" s="652"/>
    </row>
    <row r="2" spans="1:14" s="651" customFormat="1" ht="24.9" customHeight="1" thickTop="1" thickBot="1">
      <c r="A2" s="1268" t="s">
        <v>910</v>
      </c>
      <c r="B2" s="1268"/>
      <c r="C2" s="1268"/>
      <c r="D2" s="1268"/>
      <c r="E2" s="1268"/>
      <c r="F2" s="1350"/>
      <c r="G2" s="427" t="str">
        <f>IF(COUNTIF(I8:J36,"×")&gt;=1,"未入力あり","入力済")</f>
        <v>入力済</v>
      </c>
      <c r="H2" s="653"/>
      <c r="I2" s="654"/>
      <c r="J2" s="1606"/>
      <c r="K2" s="83"/>
      <c r="L2" s="652"/>
    </row>
    <row r="3" spans="1:14" s="651" customFormat="1" ht="5.0999999999999996" customHeight="1" thickTop="1">
      <c r="A3" s="655"/>
      <c r="B3" s="655"/>
      <c r="C3" s="655"/>
      <c r="D3" s="655"/>
      <c r="E3" s="655"/>
      <c r="F3" s="655"/>
      <c r="G3" s="656"/>
      <c r="H3" s="656"/>
      <c r="I3" s="656"/>
      <c r="J3" s="1606"/>
      <c r="K3" s="51"/>
      <c r="L3" s="652"/>
    </row>
    <row r="4" spans="1:14" s="651" customFormat="1" ht="20.25" customHeight="1">
      <c r="A4" s="655"/>
      <c r="B4" s="655"/>
      <c r="C4" s="655"/>
      <c r="D4" s="657" t="s">
        <v>957</v>
      </c>
      <c r="E4" s="1610" t="str">
        <f>表紙!E2</f>
        <v>公益財団法人　日本生命済生会　日本生命病院</v>
      </c>
      <c r="F4" s="1611"/>
      <c r="G4" s="1612"/>
      <c r="H4" s="658"/>
      <c r="I4" s="658"/>
      <c r="J4" s="1606"/>
      <c r="K4" s="83"/>
      <c r="L4" s="652"/>
    </row>
    <row r="5" spans="1:14" s="651" customFormat="1" ht="20.25" customHeight="1">
      <c r="A5" s="655"/>
      <c r="B5" s="655"/>
      <c r="C5" s="655"/>
      <c r="D5" s="1614" t="s">
        <v>1726</v>
      </c>
      <c r="E5" s="1614"/>
      <c r="F5" s="1614"/>
      <c r="J5" s="659"/>
      <c r="K5" s="83"/>
      <c r="L5" s="652"/>
    </row>
    <row r="6" spans="1:14" s="651" customFormat="1" ht="22.5" customHeight="1">
      <c r="A6" s="1608"/>
      <c r="B6" s="1608"/>
      <c r="C6" s="1608"/>
      <c r="D6" s="1608"/>
      <c r="E6" s="1608"/>
      <c r="F6" s="1608"/>
      <c r="G6" s="1608"/>
      <c r="H6" s="660"/>
      <c r="I6" s="660"/>
      <c r="J6" s="661"/>
      <c r="K6" s="662"/>
      <c r="L6" s="663" t="s">
        <v>234</v>
      </c>
    </row>
    <row r="7" spans="1:14" s="651" customFormat="1" ht="69.900000000000006" customHeight="1" thickBot="1">
      <c r="A7" s="1613" t="s">
        <v>958</v>
      </c>
      <c r="B7" s="1613"/>
      <c r="C7" s="1613"/>
      <c r="D7" s="1613"/>
      <c r="E7" s="1613"/>
      <c r="F7" s="1613"/>
      <c r="G7" s="1613"/>
      <c r="H7" s="660"/>
      <c r="I7" s="660"/>
      <c r="J7" s="661"/>
      <c r="K7" s="662"/>
      <c r="L7" s="169"/>
    </row>
    <row r="8" spans="1:14" s="651" customFormat="1" ht="20.100000000000001" customHeight="1" thickBot="1">
      <c r="A8" s="1" t="s">
        <v>959</v>
      </c>
      <c r="C8" s="327">
        <v>3500</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974</v>
      </c>
      <c r="D11" s="667"/>
      <c r="E11" s="667"/>
      <c r="F11" s="667"/>
      <c r="I11" s="651" t="str">
        <f>IF(C11="","×","○")</f>
        <v>○</v>
      </c>
      <c r="L11" s="169"/>
      <c r="M11" s="671">
        <v>0</v>
      </c>
      <c r="N11" s="672">
        <v>10000</v>
      </c>
    </row>
    <row r="12" spans="1:14" s="651" customFormat="1" ht="20.25" customHeight="1" thickBot="1">
      <c r="A12" s="668">
        <v>2</v>
      </c>
      <c r="B12" s="669" t="s">
        <v>964</v>
      </c>
      <c r="C12" s="327">
        <v>1</v>
      </c>
      <c r="D12" s="667"/>
      <c r="E12" s="667"/>
      <c r="F12" s="667"/>
      <c r="I12" s="651" t="str">
        <f>IF(C12="","×","○")</f>
        <v>○</v>
      </c>
      <c r="K12" s="673"/>
      <c r="L12" s="169"/>
      <c r="M12" s="665">
        <v>0</v>
      </c>
      <c r="N12" s="674">
        <v>2000</v>
      </c>
    </row>
    <row r="13" spans="1:14" s="651" customFormat="1" ht="20.25" customHeight="1" thickBot="1">
      <c r="A13" s="668">
        <v>3</v>
      </c>
      <c r="B13" s="669" t="s">
        <v>965</v>
      </c>
      <c r="C13" s="327">
        <v>0</v>
      </c>
      <c r="D13" s="667"/>
      <c r="E13" s="667"/>
      <c r="F13" s="667"/>
      <c r="I13" s="651" t="str">
        <f>IF(C13="","×","○")</f>
        <v>○</v>
      </c>
      <c r="J13" s="675"/>
      <c r="K13" s="676"/>
      <c r="L13" s="169"/>
      <c r="M13" s="665">
        <v>0</v>
      </c>
      <c r="N13" s="674">
        <v>1500</v>
      </c>
    </row>
    <row r="14" spans="1:14" s="651" customFormat="1" ht="20.25" customHeight="1">
      <c r="A14" s="677"/>
      <c r="B14" s="678" t="s">
        <v>966</v>
      </c>
      <c r="C14" s="679">
        <f>SUM(C11:C13)</f>
        <v>975</v>
      </c>
      <c r="D14" s="667"/>
      <c r="E14" s="667"/>
      <c r="F14" s="667"/>
      <c r="J14" s="675"/>
      <c r="K14" s="676"/>
      <c r="L14" s="169"/>
    </row>
    <row r="15" spans="1:14" s="651" customFormat="1" ht="20.100000000000001" customHeight="1">
      <c r="A15" s="1141" t="s">
        <v>1642</v>
      </c>
      <c r="B15" s="8"/>
      <c r="C15" s="8"/>
      <c r="D15" s="655"/>
      <c r="E15" s="655"/>
      <c r="F15" s="655"/>
      <c r="G15" s="655"/>
      <c r="H15" s="655"/>
      <c r="I15" s="655"/>
      <c r="J15" s="675"/>
      <c r="K15" s="676"/>
      <c r="L15" s="170"/>
    </row>
    <row r="16" spans="1:14" s="651" customFormat="1" ht="46.5" customHeight="1">
      <c r="A16" s="1609" t="s">
        <v>967</v>
      </c>
      <c r="B16" s="1609"/>
      <c r="C16" s="1609"/>
      <c r="D16" s="1609"/>
      <c r="E16" s="1609"/>
      <c r="F16" s="1609"/>
      <c r="G16" s="1609"/>
      <c r="H16" s="864"/>
      <c r="I16" s="680"/>
      <c r="J16" s="675"/>
      <c r="K16" s="676"/>
      <c r="L16" s="170"/>
    </row>
    <row r="17" spans="1:14">
      <c r="J17" s="675" t="s">
        <v>968</v>
      </c>
      <c r="K17" s="676"/>
      <c r="L17" s="170"/>
    </row>
    <row r="18" spans="1:14" s="651" customFormat="1" ht="20.25" customHeight="1" thickBot="1">
      <c r="A18" s="681"/>
      <c r="B18" s="682" t="s">
        <v>969</v>
      </c>
      <c r="C18" s="683" t="s">
        <v>970</v>
      </c>
      <c r="D18" s="1619" t="s">
        <v>969</v>
      </c>
      <c r="E18" s="1620"/>
      <c r="F18" s="683" t="s">
        <v>970</v>
      </c>
      <c r="J18" s="675"/>
      <c r="K18" s="676"/>
      <c r="L18" s="170"/>
    </row>
    <row r="19" spans="1:14" s="651" customFormat="1" ht="21" customHeight="1" thickBot="1">
      <c r="A19" s="684"/>
      <c r="B19" s="685" t="s">
        <v>971</v>
      </c>
      <c r="C19" s="327">
        <v>1039</v>
      </c>
      <c r="D19" s="685" t="s">
        <v>972</v>
      </c>
      <c r="E19" s="685"/>
      <c r="F19" s="327">
        <v>105</v>
      </c>
      <c r="I19" s="651" t="str">
        <f t="shared" ref="I19:I25" si="0">IF(C19="","×","○")</f>
        <v>○</v>
      </c>
      <c r="J19" s="651" t="str">
        <f>IF(F19="","×","○")</f>
        <v>○</v>
      </c>
      <c r="K19" s="676"/>
      <c r="L19" s="170"/>
      <c r="M19" s="665">
        <v>0</v>
      </c>
      <c r="N19" s="674">
        <v>3000</v>
      </c>
    </row>
    <row r="20" spans="1:14" s="651" customFormat="1" ht="20.25" customHeight="1" thickBot="1">
      <c r="A20" s="684"/>
      <c r="B20" s="685" t="s">
        <v>973</v>
      </c>
      <c r="C20" s="327">
        <v>133</v>
      </c>
      <c r="D20" s="685" t="s">
        <v>974</v>
      </c>
      <c r="E20" s="685"/>
      <c r="F20" s="327">
        <v>448</v>
      </c>
      <c r="I20" s="651" t="str">
        <f t="shared" si="0"/>
        <v>○</v>
      </c>
      <c r="J20" s="651" t="str">
        <f t="shared" ref="J20:J33" si="1">IF(F20="","×","○")</f>
        <v>○</v>
      </c>
      <c r="K20" s="676"/>
      <c r="L20" s="170"/>
      <c r="M20" s="665">
        <v>0</v>
      </c>
      <c r="N20" s="674">
        <v>3000</v>
      </c>
    </row>
    <row r="21" spans="1:14" s="651" customFormat="1" ht="20.25" customHeight="1" thickBot="1">
      <c r="A21" s="684"/>
      <c r="B21" s="685" t="s">
        <v>975</v>
      </c>
      <c r="C21" s="327">
        <v>505</v>
      </c>
      <c r="D21" s="1617" t="s">
        <v>976</v>
      </c>
      <c r="E21" s="1618"/>
      <c r="F21" s="327">
        <v>27</v>
      </c>
      <c r="I21" s="651" t="str">
        <f t="shared" si="0"/>
        <v>○</v>
      </c>
      <c r="J21" s="651" t="str">
        <f t="shared" si="1"/>
        <v>○</v>
      </c>
      <c r="K21" s="676"/>
      <c r="L21" s="170"/>
      <c r="M21" s="665">
        <v>0</v>
      </c>
      <c r="N21" s="674">
        <v>3000</v>
      </c>
    </row>
    <row r="22" spans="1:14" s="651" customFormat="1" ht="20.25" customHeight="1" thickBot="1">
      <c r="A22" s="684"/>
      <c r="B22" s="1142" t="s">
        <v>1643</v>
      </c>
      <c r="C22" s="327">
        <v>5</v>
      </c>
      <c r="D22" s="1617" t="s">
        <v>977</v>
      </c>
      <c r="E22" s="1618"/>
      <c r="F22" s="327">
        <v>0</v>
      </c>
      <c r="I22" s="651" t="str">
        <f t="shared" si="0"/>
        <v>○</v>
      </c>
      <c r="J22" s="651" t="str">
        <f t="shared" si="1"/>
        <v>○</v>
      </c>
      <c r="K22" s="676"/>
      <c r="L22" s="170"/>
      <c r="M22" s="665">
        <v>0</v>
      </c>
      <c r="N22" s="674">
        <v>3000</v>
      </c>
    </row>
    <row r="23" spans="1:14" s="651" customFormat="1" ht="20.25" customHeight="1" thickBot="1">
      <c r="A23" s="684"/>
      <c r="B23" s="686" t="s">
        <v>978</v>
      </c>
      <c r="C23" s="327">
        <v>14</v>
      </c>
      <c r="D23" s="687" t="s">
        <v>979</v>
      </c>
      <c r="E23" s="688"/>
      <c r="F23" s="327">
        <v>598</v>
      </c>
      <c r="I23" s="651" t="str">
        <f t="shared" si="0"/>
        <v>○</v>
      </c>
      <c r="J23" s="651" t="str">
        <f t="shared" si="1"/>
        <v>○</v>
      </c>
      <c r="K23" s="676"/>
      <c r="L23" s="171"/>
      <c r="M23" s="665">
        <v>0</v>
      </c>
      <c r="N23" s="674">
        <v>3000</v>
      </c>
    </row>
    <row r="24" spans="1:14" s="651" customFormat="1" ht="20.25" customHeight="1" thickBot="1">
      <c r="A24" s="684"/>
      <c r="B24" s="686" t="s">
        <v>980</v>
      </c>
      <c r="C24" s="327">
        <v>0</v>
      </c>
      <c r="D24" s="687" t="s">
        <v>981</v>
      </c>
      <c r="E24" s="688"/>
      <c r="F24" s="327">
        <v>2</v>
      </c>
      <c r="I24" s="651" t="str">
        <f t="shared" si="0"/>
        <v>○</v>
      </c>
      <c r="J24" s="651" t="str">
        <f t="shared" si="1"/>
        <v>○</v>
      </c>
      <c r="K24" s="676"/>
      <c r="L24" s="170"/>
      <c r="M24" s="665">
        <v>0</v>
      </c>
      <c r="N24" s="674">
        <v>3000</v>
      </c>
    </row>
    <row r="25" spans="1:14" s="651" customFormat="1" ht="24" customHeight="1" thickBot="1">
      <c r="A25" s="684"/>
      <c r="B25" s="686" t="s">
        <v>982</v>
      </c>
      <c r="C25" s="327">
        <v>0</v>
      </c>
      <c r="D25" s="687" t="s">
        <v>983</v>
      </c>
      <c r="E25" s="685"/>
      <c r="F25" s="327">
        <v>21</v>
      </c>
      <c r="I25" s="651" t="str">
        <f t="shared" si="0"/>
        <v>○</v>
      </c>
      <c r="J25" s="651" t="str">
        <f t="shared" si="1"/>
        <v>○</v>
      </c>
      <c r="K25" s="676"/>
      <c r="L25" s="170"/>
      <c r="M25" s="665">
        <v>0</v>
      </c>
      <c r="N25" s="674">
        <v>3000</v>
      </c>
    </row>
    <row r="26" spans="1:14" s="651" customFormat="1" ht="24" customHeight="1" thickBot="1">
      <c r="A26" s="684"/>
      <c r="B26" s="685" t="s">
        <v>984</v>
      </c>
      <c r="C26" s="327">
        <v>6</v>
      </c>
      <c r="D26" s="687" t="s">
        <v>985</v>
      </c>
      <c r="E26" s="685"/>
      <c r="F26" s="327">
        <v>147</v>
      </c>
      <c r="I26" s="651" t="str">
        <f t="shared" ref="I26:I36" si="2">IF(C26="","×","○")</f>
        <v>○</v>
      </c>
      <c r="J26" s="651" t="str">
        <f t="shared" si="1"/>
        <v>○</v>
      </c>
      <c r="K26" s="676"/>
      <c r="L26" s="170"/>
      <c r="M26" s="665">
        <v>0</v>
      </c>
      <c r="N26" s="674">
        <v>3000</v>
      </c>
    </row>
    <row r="27" spans="1:14" s="651" customFormat="1" ht="24" customHeight="1" thickBot="1">
      <c r="A27" s="684"/>
      <c r="B27" s="685" t="s">
        <v>986</v>
      </c>
      <c r="C27" s="327">
        <v>0</v>
      </c>
      <c r="D27" s="687" t="s">
        <v>987</v>
      </c>
      <c r="E27" s="685"/>
      <c r="F27" s="327">
        <v>314</v>
      </c>
      <c r="I27" s="651" t="str">
        <f t="shared" si="2"/>
        <v>○</v>
      </c>
      <c r="J27" s="651" t="str">
        <f t="shared" si="1"/>
        <v>○</v>
      </c>
      <c r="K27" s="676"/>
      <c r="L27" s="170"/>
      <c r="M27" s="665">
        <v>0</v>
      </c>
      <c r="N27" s="674">
        <v>3000</v>
      </c>
    </row>
    <row r="28" spans="1:14" s="651" customFormat="1" ht="24" customHeight="1" thickBot="1">
      <c r="A28" s="684"/>
      <c r="B28" s="685" t="s">
        <v>988</v>
      </c>
      <c r="C28" s="327">
        <v>17</v>
      </c>
      <c r="D28" s="687" t="s">
        <v>989</v>
      </c>
      <c r="E28" s="685"/>
      <c r="F28" s="327">
        <v>37</v>
      </c>
      <c r="I28" s="651" t="str">
        <f t="shared" si="2"/>
        <v>○</v>
      </c>
      <c r="J28" s="651" t="str">
        <f t="shared" si="1"/>
        <v>○</v>
      </c>
      <c r="K28" s="676"/>
      <c r="L28" s="170"/>
      <c r="M28" s="665">
        <v>0</v>
      </c>
      <c r="N28" s="674">
        <v>3000</v>
      </c>
    </row>
    <row r="29" spans="1:14" s="651" customFormat="1" ht="24" customHeight="1" thickBot="1">
      <c r="A29" s="684"/>
      <c r="B29" s="685" t="s">
        <v>990</v>
      </c>
      <c r="C29" s="327">
        <v>1</v>
      </c>
      <c r="D29" s="687" t="s">
        <v>991</v>
      </c>
      <c r="E29" s="685"/>
      <c r="F29" s="327">
        <v>88</v>
      </c>
      <c r="I29" s="651" t="str">
        <f t="shared" si="2"/>
        <v>○</v>
      </c>
      <c r="J29" s="651" t="str">
        <f t="shared" si="1"/>
        <v>○</v>
      </c>
      <c r="K29" s="676"/>
      <c r="L29" s="170"/>
      <c r="M29" s="665">
        <v>0</v>
      </c>
      <c r="N29" s="674">
        <v>3000</v>
      </c>
    </row>
    <row r="30" spans="1:14" s="651" customFormat="1" ht="24" customHeight="1" thickBot="1">
      <c r="A30" s="684"/>
      <c r="B30" s="685" t="s">
        <v>992</v>
      </c>
      <c r="C30" s="327">
        <v>0</v>
      </c>
      <c r="D30" s="687" t="s">
        <v>993</v>
      </c>
      <c r="E30" s="685"/>
      <c r="F30" s="327">
        <v>2</v>
      </c>
      <c r="I30" s="651" t="str">
        <f t="shared" si="2"/>
        <v>○</v>
      </c>
      <c r="J30" s="651" t="str">
        <f t="shared" si="1"/>
        <v>○</v>
      </c>
      <c r="K30" s="676"/>
      <c r="L30" s="170"/>
      <c r="M30" s="665">
        <v>0</v>
      </c>
      <c r="N30" s="674">
        <v>3000</v>
      </c>
    </row>
    <row r="31" spans="1:14" s="651" customFormat="1" ht="24" customHeight="1" thickBot="1">
      <c r="A31" s="684"/>
      <c r="B31" s="685" t="s">
        <v>994</v>
      </c>
      <c r="C31" s="327">
        <v>88</v>
      </c>
      <c r="D31" s="687" t="s">
        <v>995</v>
      </c>
      <c r="E31" s="685"/>
      <c r="F31" s="327">
        <v>3</v>
      </c>
      <c r="I31" s="651" t="str">
        <f t="shared" si="2"/>
        <v>○</v>
      </c>
      <c r="J31" s="651" t="str">
        <f t="shared" si="1"/>
        <v>○</v>
      </c>
      <c r="K31" s="676"/>
      <c r="L31" s="170"/>
      <c r="M31" s="665">
        <v>0</v>
      </c>
      <c r="N31" s="674">
        <v>3000</v>
      </c>
    </row>
    <row r="32" spans="1:14" s="651" customFormat="1" ht="24" customHeight="1" thickBot="1">
      <c r="A32" s="684"/>
      <c r="B32" s="685" t="s">
        <v>996</v>
      </c>
      <c r="C32" s="327">
        <v>397</v>
      </c>
      <c r="D32" s="687" t="s">
        <v>997</v>
      </c>
      <c r="E32" s="685"/>
      <c r="F32" s="327">
        <v>1</v>
      </c>
      <c r="I32" s="651" t="str">
        <f t="shared" si="2"/>
        <v>○</v>
      </c>
      <c r="J32" s="651" t="str">
        <f t="shared" si="1"/>
        <v>○</v>
      </c>
      <c r="K32" s="673"/>
      <c r="L32" s="170"/>
      <c r="M32" s="665">
        <v>0</v>
      </c>
      <c r="N32" s="674">
        <v>3000</v>
      </c>
    </row>
    <row r="33" spans="1:14" s="651" customFormat="1" ht="24" customHeight="1" thickBot="1">
      <c r="A33" s="684"/>
      <c r="B33" s="685" t="s">
        <v>998</v>
      </c>
      <c r="C33" s="327">
        <v>35</v>
      </c>
      <c r="D33" s="687" t="s">
        <v>999</v>
      </c>
      <c r="E33" s="685"/>
      <c r="F33" s="327">
        <v>30</v>
      </c>
      <c r="I33" s="651" t="str">
        <f t="shared" si="2"/>
        <v>○</v>
      </c>
      <c r="J33" s="651" t="str">
        <f t="shared" si="1"/>
        <v>○</v>
      </c>
      <c r="K33" s="673"/>
      <c r="L33" s="170"/>
      <c r="M33" s="665">
        <v>0</v>
      </c>
      <c r="N33" s="674">
        <v>3000</v>
      </c>
    </row>
    <row r="34" spans="1:14" s="651" customFormat="1" ht="24" customHeight="1" thickBot="1">
      <c r="A34" s="684"/>
      <c r="B34" s="685" t="s">
        <v>1000</v>
      </c>
      <c r="C34" s="327">
        <v>0</v>
      </c>
      <c r="D34" s="1615"/>
      <c r="E34" s="1616"/>
      <c r="F34" s="327"/>
      <c r="I34" s="651" t="str">
        <f t="shared" si="2"/>
        <v>○</v>
      </c>
      <c r="K34" s="673"/>
      <c r="L34" s="170"/>
      <c r="M34" s="665">
        <v>0</v>
      </c>
      <c r="N34" s="674">
        <v>3000</v>
      </c>
    </row>
    <row r="35" spans="1:14" s="651" customFormat="1" ht="24" customHeight="1" thickBot="1">
      <c r="A35" s="684"/>
      <c r="B35" s="685" t="s">
        <v>1001</v>
      </c>
      <c r="C35" s="327">
        <v>678</v>
      </c>
      <c r="D35" s="1615"/>
      <c r="E35" s="1616"/>
      <c r="F35" s="327"/>
      <c r="I35" s="651" t="str">
        <f t="shared" si="2"/>
        <v>○</v>
      </c>
      <c r="K35" s="673"/>
      <c r="L35" s="170"/>
      <c r="M35" s="665">
        <v>0</v>
      </c>
      <c r="N35" s="674">
        <v>3000</v>
      </c>
    </row>
    <row r="36" spans="1:14" s="667" customFormat="1" ht="24" customHeight="1" thickBot="1">
      <c r="A36" s="684"/>
      <c r="B36" s="685" t="s">
        <v>1002</v>
      </c>
      <c r="C36" s="327">
        <v>306</v>
      </c>
      <c r="D36" s="1615"/>
      <c r="E36" s="1616"/>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AA16" sqref="AA16"/>
    </sheetView>
  </sheetViews>
  <sheetFormatPr defaultColWidth="9" defaultRowHeight="13.2"/>
  <cols>
    <col min="1" max="1" width="3.6640625" style="477" customWidth="1"/>
    <col min="2" max="2" width="35.6640625" style="477" customWidth="1"/>
    <col min="3" max="4" width="10.6640625" style="477" customWidth="1"/>
    <col min="5" max="13" width="2.6640625" style="477" customWidth="1"/>
    <col min="14" max="14" width="1.6640625" style="477" customWidth="1"/>
    <col min="15" max="22" width="2.6640625" style="477" customWidth="1"/>
    <col min="23" max="23" width="10.6640625" style="477" customWidth="1"/>
    <col min="24" max="24" width="2.6640625" style="548" customWidth="1"/>
    <col min="25" max="25" width="6" style="548" hidden="1" customWidth="1"/>
    <col min="26" max="26" width="2.21875" style="452" customWidth="1"/>
    <col min="27" max="27" width="82.77734375" style="692" bestFit="1" customWidth="1"/>
    <col min="28" max="28" width="10.88671875" style="477" customWidth="1"/>
    <col min="29" max="29" width="20.109375" style="477" customWidth="1"/>
    <col min="30" max="32" width="9" style="477"/>
    <col min="33" max="33" width="8.88671875" style="477" customWidth="1"/>
    <col min="34" max="16384" width="9" style="477"/>
  </cols>
  <sheetData>
    <row r="1" spans="1:38" s="693" customFormat="1" ht="22.5" customHeight="1" thickBot="1">
      <c r="A1" s="1625" t="s">
        <v>1029</v>
      </c>
      <c r="B1" s="1625"/>
      <c r="C1" s="1625"/>
      <c r="D1" s="1625"/>
      <c r="E1" s="1625"/>
      <c r="F1" s="1625"/>
      <c r="G1" s="1625"/>
      <c r="H1" s="1625"/>
      <c r="I1" s="1625"/>
      <c r="J1" s="1625"/>
      <c r="K1" s="1625"/>
      <c r="L1" s="1625"/>
      <c r="M1" s="1625"/>
      <c r="N1" s="1625"/>
      <c r="O1" s="1625"/>
      <c r="P1" s="1625"/>
      <c r="Q1" s="1625"/>
      <c r="R1" s="1625"/>
      <c r="S1" s="1625"/>
      <c r="T1" s="1625"/>
      <c r="U1" s="1625"/>
      <c r="V1" s="1625"/>
      <c r="W1" s="1625"/>
      <c r="Z1" s="83"/>
      <c r="AA1" s="652"/>
      <c r="AB1" s="694"/>
      <c r="AC1" s="695"/>
      <c r="AD1" s="696"/>
      <c r="AE1" s="696"/>
      <c r="AF1" s="696"/>
      <c r="AG1" s="696"/>
      <c r="AH1" s="696"/>
      <c r="AI1" s="696"/>
      <c r="AJ1" s="696"/>
      <c r="AK1" s="696"/>
    </row>
    <row r="2" spans="1:38" s="693" customFormat="1" ht="24.9" customHeight="1" thickTop="1" thickBot="1">
      <c r="A2" s="1268" t="s">
        <v>865</v>
      </c>
      <c r="B2" s="1268"/>
      <c r="C2" s="1268"/>
      <c r="D2" s="1268"/>
      <c r="E2" s="1268"/>
      <c r="F2" s="1268"/>
      <c r="G2" s="1268"/>
      <c r="H2" s="1268"/>
      <c r="I2" s="1268"/>
      <c r="J2" s="1268"/>
      <c r="K2" s="1268"/>
      <c r="L2" s="1268"/>
      <c r="M2" s="1268"/>
      <c r="N2" s="1268"/>
      <c r="O2" s="1268"/>
      <c r="P2" s="1268"/>
      <c r="Q2" s="1268"/>
      <c r="R2" s="1268"/>
      <c r="S2" s="1268"/>
      <c r="T2" s="1268"/>
      <c r="U2" s="1268"/>
      <c r="V2" s="1350"/>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1"/>
      <c r="AG3" s="1621"/>
      <c r="AH3" s="1621"/>
      <c r="AI3" s="1621"/>
      <c r="AJ3" s="1621"/>
      <c r="AK3" s="1621"/>
      <c r="AL3" s="1621"/>
    </row>
    <row r="4" spans="1:38" ht="20.25" customHeight="1">
      <c r="D4" s="494" t="s">
        <v>757</v>
      </c>
      <c r="E4" s="1325" t="str">
        <f>表紙!E2</f>
        <v>公益財団法人　日本生命済生会　日本生命病院</v>
      </c>
      <c r="F4" s="1622"/>
      <c r="G4" s="1622"/>
      <c r="H4" s="1622"/>
      <c r="I4" s="1622"/>
      <c r="J4" s="1622"/>
      <c r="K4" s="1622"/>
      <c r="L4" s="1622"/>
      <c r="M4" s="1622"/>
      <c r="N4" s="1622"/>
      <c r="O4" s="1622"/>
      <c r="P4" s="1622"/>
      <c r="Q4" s="1622"/>
      <c r="R4" s="1622"/>
      <c r="S4" s="1622"/>
      <c r="T4" s="1622"/>
      <c r="U4" s="1622"/>
      <c r="V4" s="1622"/>
      <c r="W4" s="1326"/>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467" t="s">
        <v>1856</v>
      </c>
      <c r="D6" s="1468"/>
      <c r="E6" s="1468"/>
      <c r="F6" s="1468"/>
      <c r="G6" s="1468"/>
      <c r="H6" s="1468"/>
      <c r="I6" s="1468"/>
      <c r="J6" s="1468"/>
      <c r="K6" s="1468"/>
      <c r="L6" s="1468"/>
      <c r="M6" s="1468"/>
      <c r="N6" s="1468"/>
      <c r="O6" s="1468"/>
      <c r="P6" s="1468"/>
      <c r="Q6" s="1468"/>
      <c r="R6" s="1468"/>
      <c r="S6" s="1468"/>
      <c r="T6" s="1468"/>
      <c r="U6" s="1468"/>
      <c r="V6" s="1468"/>
      <c r="W6" s="1472"/>
      <c r="X6" s="661"/>
      <c r="Y6" s="661" t="str">
        <f>IF(C6="","×","○")</f>
        <v>○</v>
      </c>
      <c r="Z6" s="703"/>
      <c r="AA6" s="163"/>
      <c r="AB6" s="704"/>
    </row>
    <row r="7" spans="1:38" ht="25.5" customHeight="1" thickBot="1">
      <c r="A7" s="550">
        <v>2</v>
      </c>
      <c r="B7" s="1623" t="s">
        <v>1031</v>
      </c>
      <c r="C7" s="1624"/>
      <c r="D7" s="1626" t="s">
        <v>1816</v>
      </c>
      <c r="E7" s="1627"/>
      <c r="F7" s="1627"/>
      <c r="G7" s="1627"/>
      <c r="H7" s="1627"/>
      <c r="I7" s="1627"/>
      <c r="J7" s="1627"/>
      <c r="K7" s="1627"/>
      <c r="L7" s="1627"/>
      <c r="M7" s="1628"/>
      <c r="N7" s="1404" t="s">
        <v>881</v>
      </c>
      <c r="O7" s="1404"/>
      <c r="P7" s="1404"/>
      <c r="Q7" s="1408"/>
      <c r="R7" s="1409"/>
      <c r="S7" s="1409"/>
      <c r="T7" s="1409"/>
      <c r="U7" s="1409"/>
      <c r="V7" s="1409"/>
      <c r="W7" s="1410"/>
      <c r="X7" s="651"/>
      <c r="Y7" s="661" t="str">
        <f>IF(D7="","×","○")</f>
        <v>○</v>
      </c>
      <c r="AA7" s="163"/>
      <c r="AB7" s="704"/>
    </row>
    <row r="8" spans="1:38" ht="25.5" customHeight="1" thickBot="1">
      <c r="A8" s="1596">
        <v>3</v>
      </c>
      <c r="B8" s="705" t="s">
        <v>1032</v>
      </c>
      <c r="C8" s="36" t="s">
        <v>1857</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6"/>
      <c r="B9" s="709" t="s">
        <v>1033</v>
      </c>
      <c r="C9" s="36" t="s">
        <v>908</v>
      </c>
      <c r="D9" s="710"/>
      <c r="W9" s="561"/>
      <c r="X9" s="651"/>
      <c r="Y9" s="661" t="str">
        <f>IF(AND(C8="実施",C9=""),"×","○")</f>
        <v>○</v>
      </c>
      <c r="AA9" s="173"/>
      <c r="AB9" s="503"/>
    </row>
    <row r="10" spans="1:38" ht="25.5" customHeight="1" thickBot="1">
      <c r="A10" s="1596">
        <v>4</v>
      </c>
      <c r="B10" s="711" t="s">
        <v>1034</v>
      </c>
      <c r="C10" s="36" t="s">
        <v>1857</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6"/>
      <c r="B11" s="1629" t="s">
        <v>1035</v>
      </c>
      <c r="C11" s="1630"/>
      <c r="D11" s="1626" t="s">
        <v>1816</v>
      </c>
      <c r="E11" s="1627"/>
      <c r="F11" s="1627"/>
      <c r="G11" s="1627"/>
      <c r="H11" s="1627"/>
      <c r="I11" s="1627"/>
      <c r="J11" s="1627"/>
      <c r="K11" s="1627"/>
      <c r="L11" s="1627"/>
      <c r="M11" s="1628"/>
      <c r="N11" s="1426" t="s">
        <v>881</v>
      </c>
      <c r="O11" s="1427"/>
      <c r="P11" s="1428"/>
      <c r="Q11" s="1408"/>
      <c r="R11" s="1409"/>
      <c r="S11" s="1409"/>
      <c r="T11" s="1409"/>
      <c r="U11" s="1409"/>
      <c r="V11" s="1409"/>
      <c r="W11" s="1410"/>
      <c r="Y11" s="661" t="str">
        <f>IF(AND(C10="実施",D11=""),"×","○")</f>
        <v>○</v>
      </c>
      <c r="AA11" s="173"/>
      <c r="AB11" s="704"/>
    </row>
    <row r="12" spans="1:38" ht="25.5" customHeight="1" thickBot="1">
      <c r="A12" s="1596"/>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6"/>
      <c r="B13" s="717" t="s">
        <v>1037</v>
      </c>
      <c r="C13" s="36" t="s">
        <v>1858</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6"/>
      <c r="B14" s="1629" t="s">
        <v>1038</v>
      </c>
      <c r="C14" s="1630"/>
      <c r="D14" s="1626"/>
      <c r="E14" s="1627"/>
      <c r="F14" s="1627"/>
      <c r="G14" s="1627"/>
      <c r="H14" s="1627"/>
      <c r="I14" s="1627"/>
      <c r="J14" s="1627"/>
      <c r="K14" s="1627"/>
      <c r="L14" s="1627"/>
      <c r="M14" s="1627"/>
      <c r="N14" s="1627"/>
      <c r="O14" s="1627"/>
      <c r="P14" s="1627"/>
      <c r="Q14" s="1627"/>
      <c r="R14" s="1627"/>
      <c r="S14" s="1627"/>
      <c r="T14" s="1627"/>
      <c r="U14" s="1627"/>
      <c r="V14" s="1627"/>
      <c r="W14" s="1628"/>
      <c r="Y14" s="661" t="str">
        <f>IF(AND(C13="実施",D14=""),"×","○")</f>
        <v>○</v>
      </c>
      <c r="AA14" s="173"/>
      <c r="AB14" s="503"/>
    </row>
    <row r="15" spans="1:38" ht="25.5" customHeight="1" thickBot="1">
      <c r="A15" s="1596"/>
      <c r="B15" s="721" t="s">
        <v>1039</v>
      </c>
      <c r="C15" s="36" t="s">
        <v>1857</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6"/>
      <c r="B16" s="1631" t="s">
        <v>1040</v>
      </c>
      <c r="C16" s="1632"/>
      <c r="D16" s="1467" t="s">
        <v>1899</v>
      </c>
      <c r="E16" s="1468"/>
      <c r="F16" s="1468"/>
      <c r="G16" s="1468"/>
      <c r="H16" s="1468"/>
      <c r="I16" s="1468"/>
      <c r="J16" s="1468"/>
      <c r="K16" s="1468"/>
      <c r="L16" s="1468"/>
      <c r="M16" s="1468"/>
      <c r="N16" s="1468"/>
      <c r="O16" s="1468"/>
      <c r="P16" s="1468"/>
      <c r="Q16" s="1468"/>
      <c r="R16" s="1468"/>
      <c r="S16" s="1468"/>
      <c r="T16" s="1468"/>
      <c r="U16" s="1468"/>
      <c r="V16" s="1468"/>
      <c r="W16" s="1472"/>
      <c r="Y16" s="661" t="str">
        <f>IF(AND(C15="実施",D16=""),"×","○")</f>
        <v>○</v>
      </c>
      <c r="AA16" s="173"/>
      <c r="AB16" s="704"/>
    </row>
    <row r="17" spans="1:28" ht="25.5" customHeight="1" thickBot="1">
      <c r="A17" s="1596"/>
      <c r="B17" s="724" t="s">
        <v>1041</v>
      </c>
      <c r="C17" s="36" t="s">
        <v>1858</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M34" sqref="M34"/>
    </sheetView>
  </sheetViews>
  <sheetFormatPr defaultColWidth="8.88671875" defaultRowHeight="20.100000000000001" customHeight="1"/>
  <cols>
    <col min="1" max="1" width="3.6640625" style="426" customWidth="1"/>
    <col min="2" max="2" width="34" style="426" customWidth="1"/>
    <col min="3" max="3" width="15.109375" style="426" customWidth="1"/>
    <col min="4" max="4" width="17.6640625" style="426" customWidth="1"/>
    <col min="5" max="5" width="10.33203125" style="426" customWidth="1"/>
    <col min="6" max="6" width="5.6640625" style="426" customWidth="1"/>
    <col min="7" max="7" width="7.88671875" style="426" customWidth="1"/>
    <col min="8" max="8" width="20.88671875" style="426" customWidth="1"/>
    <col min="9" max="9" width="10.6640625" style="426" customWidth="1"/>
    <col min="10" max="10" width="2.6640625" style="426" customWidth="1"/>
    <col min="11" max="11" width="6" style="426" hidden="1" customWidth="1"/>
    <col min="12" max="12" width="2.44140625" style="49" customWidth="1"/>
    <col min="13" max="13" width="82.77734375" style="332" bestFit="1" customWidth="1"/>
    <col min="14" max="14" width="0" style="426" hidden="1" customWidth="1"/>
    <col min="15" max="15" width="9.109375" style="426" hidden="1" customWidth="1"/>
    <col min="16" max="17" width="6.21875" style="426" customWidth="1"/>
    <col min="18" max="16384" width="8.88671875" style="426"/>
  </cols>
  <sheetData>
    <row r="1" spans="1:13" s="725" customFormat="1" ht="20.25" customHeight="1" thickBot="1">
      <c r="A1" s="1323" t="s">
        <v>1042</v>
      </c>
      <c r="B1" s="1323"/>
      <c r="C1" s="1323"/>
      <c r="D1" s="1323"/>
      <c r="E1" s="1323"/>
      <c r="F1" s="1323"/>
      <c r="G1" s="1323"/>
      <c r="H1" s="1323"/>
      <c r="I1" s="1323"/>
      <c r="L1" s="83"/>
      <c r="M1" s="186"/>
    </row>
    <row r="2" spans="1:13" s="725" customFormat="1" ht="24.9" customHeight="1" thickTop="1" thickBot="1">
      <c r="A2" s="1435" t="s">
        <v>910</v>
      </c>
      <c r="B2" s="1435"/>
      <c r="C2" s="1435"/>
      <c r="D2" s="1435"/>
      <c r="E2" s="1435"/>
      <c r="F2" s="1435"/>
      <c r="G2" s="1435"/>
      <c r="H2" s="1436"/>
      <c r="I2" s="427" t="str">
        <f>IF(COUNTIF(K:K,"×")&gt;=1,"未入力あり","入力済")</f>
        <v>入力済</v>
      </c>
      <c r="J2" s="1330"/>
      <c r="K2" s="492"/>
      <c r="L2" s="83"/>
      <c r="M2" s="186"/>
    </row>
    <row r="3" spans="1:13" ht="4.6500000000000004" customHeight="1" thickTop="1">
      <c r="F3" s="726"/>
      <c r="G3" s="726"/>
      <c r="H3" s="726"/>
      <c r="J3" s="1330"/>
      <c r="K3" s="492"/>
      <c r="L3" s="51"/>
    </row>
    <row r="4" spans="1:13" ht="20.100000000000001" customHeight="1">
      <c r="E4" s="494" t="s">
        <v>757</v>
      </c>
      <c r="F4" s="1651" t="str">
        <f>表紙!E2</f>
        <v>公益財団法人　日本生命済生会　日本生命病院</v>
      </c>
      <c r="G4" s="1652"/>
      <c r="H4" s="1652"/>
      <c r="I4" s="1653"/>
      <c r="J4" s="1330"/>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57" t="s">
        <v>1043</v>
      </c>
      <c r="B6" s="1657"/>
      <c r="C6" s="1657"/>
      <c r="D6" s="1657"/>
      <c r="E6" s="1657"/>
      <c r="F6" s="1657"/>
      <c r="G6" s="1657"/>
      <c r="H6" s="1657"/>
      <c r="I6" s="1657"/>
      <c r="J6" s="728"/>
      <c r="K6" s="728"/>
      <c r="M6" s="74"/>
    </row>
    <row r="7" spans="1:13" ht="72.75" customHeight="1">
      <c r="A7" s="1664" t="s">
        <v>1775</v>
      </c>
      <c r="B7" s="1664"/>
      <c r="C7" s="1664"/>
      <c r="D7" s="1664"/>
      <c r="E7" s="1664"/>
      <c r="F7" s="1664"/>
      <c r="G7" s="1664"/>
      <c r="H7" s="1665"/>
      <c r="I7" s="728"/>
      <c r="J7" s="728"/>
      <c r="M7" s="74"/>
    </row>
    <row r="8" spans="1:13" ht="42.75" customHeight="1">
      <c r="A8" s="729"/>
      <c r="B8" s="1144" t="s">
        <v>1644</v>
      </c>
      <c r="C8" s="1666" t="s">
        <v>1045</v>
      </c>
      <c r="D8" s="1667"/>
      <c r="E8" s="730" t="s">
        <v>1044</v>
      </c>
      <c r="F8" s="1660" t="s">
        <v>1046</v>
      </c>
      <c r="G8" s="1661"/>
      <c r="H8" s="730" t="s">
        <v>1047</v>
      </c>
      <c r="M8" s="166"/>
    </row>
    <row r="9" spans="1:13" s="734" customFormat="1" ht="15" customHeight="1">
      <c r="A9" s="731" t="s">
        <v>1048</v>
      </c>
      <c r="B9" s="732" t="s">
        <v>1049</v>
      </c>
      <c r="C9" s="1658" t="s">
        <v>1050</v>
      </c>
      <c r="D9" s="1659"/>
      <c r="E9" s="733">
        <v>3</v>
      </c>
      <c r="F9" s="1662">
        <v>2</v>
      </c>
      <c r="G9" s="1663"/>
      <c r="H9" s="733">
        <v>3</v>
      </c>
      <c r="K9" s="426"/>
      <c r="L9" s="735"/>
      <c r="M9" s="74"/>
    </row>
    <row r="10" spans="1:13" s="734" customFormat="1" ht="15" customHeight="1" thickBot="1">
      <c r="A10" s="736" t="s">
        <v>1048</v>
      </c>
      <c r="B10" s="737" t="s">
        <v>1051</v>
      </c>
      <c r="C10" s="1658" t="s">
        <v>1052</v>
      </c>
      <c r="D10" s="1659"/>
      <c r="E10" s="733">
        <v>2</v>
      </c>
      <c r="F10" s="1662">
        <v>1</v>
      </c>
      <c r="G10" s="1663"/>
      <c r="H10" s="733">
        <v>2</v>
      </c>
      <c r="K10" s="426"/>
      <c r="L10" s="735"/>
      <c r="M10" s="74"/>
    </row>
    <row r="11" spans="1:13" ht="22.5" customHeight="1" thickBot="1">
      <c r="A11" s="550">
        <v>1</v>
      </c>
      <c r="B11" s="738" t="s">
        <v>1053</v>
      </c>
      <c r="C11" s="1637" t="s">
        <v>1050</v>
      </c>
      <c r="D11" s="1638"/>
      <c r="E11" s="54">
        <v>0</v>
      </c>
      <c r="F11" s="1633">
        <v>0</v>
      </c>
      <c r="G11" s="1634"/>
      <c r="H11" s="54">
        <v>0</v>
      </c>
      <c r="K11" s="426" t="str">
        <f>IF(AND(E11&lt;&gt;"",F11&lt;&gt;"",H11&lt;&gt;""),"○","×")</f>
        <v>○</v>
      </c>
      <c r="M11" s="74"/>
    </row>
    <row r="12" spans="1:13" ht="22.5" customHeight="1" thickBot="1">
      <c r="A12" s="550">
        <v>2</v>
      </c>
      <c r="B12" s="738" t="s">
        <v>1053</v>
      </c>
      <c r="C12" s="1637" t="s">
        <v>1052</v>
      </c>
      <c r="D12" s="1638"/>
      <c r="E12" s="54">
        <v>1</v>
      </c>
      <c r="F12" s="1633">
        <v>1</v>
      </c>
      <c r="G12" s="1634"/>
      <c r="H12" s="54">
        <v>1</v>
      </c>
      <c r="K12" s="426" t="str">
        <f t="shared" ref="K12:K19" si="0">IF(AND(E12&lt;&gt;"",F12&lt;&gt;"",H12&lt;&gt;""),"○","×")</f>
        <v>○</v>
      </c>
      <c r="M12" s="74"/>
    </row>
    <row r="13" spans="1:13" ht="22.5" customHeight="1" thickBot="1">
      <c r="A13" s="550">
        <v>3</v>
      </c>
      <c r="B13" s="738" t="s">
        <v>1053</v>
      </c>
      <c r="C13" s="1637" t="s">
        <v>1054</v>
      </c>
      <c r="D13" s="1638"/>
      <c r="E13" s="54">
        <v>6</v>
      </c>
      <c r="F13" s="1633">
        <v>6</v>
      </c>
      <c r="G13" s="1634"/>
      <c r="H13" s="54">
        <v>2</v>
      </c>
      <c r="K13" s="426" t="str">
        <f t="shared" si="0"/>
        <v>○</v>
      </c>
      <c r="M13" s="74"/>
    </row>
    <row r="14" spans="1:13" ht="22.5" customHeight="1" thickBot="1">
      <c r="A14" s="550">
        <v>4</v>
      </c>
      <c r="B14" s="738" t="s">
        <v>1055</v>
      </c>
      <c r="C14" s="1637" t="s">
        <v>1050</v>
      </c>
      <c r="D14" s="1638"/>
      <c r="E14" s="54">
        <v>0</v>
      </c>
      <c r="F14" s="1633">
        <v>0</v>
      </c>
      <c r="G14" s="1634"/>
      <c r="H14" s="54">
        <v>0</v>
      </c>
      <c r="K14" s="426" t="str">
        <f t="shared" si="0"/>
        <v>○</v>
      </c>
      <c r="M14" s="74"/>
    </row>
    <row r="15" spans="1:13" ht="22.5" customHeight="1" thickBot="1">
      <c r="A15" s="550">
        <v>5</v>
      </c>
      <c r="B15" s="738" t="s">
        <v>1055</v>
      </c>
      <c r="C15" s="1637" t="s">
        <v>1052</v>
      </c>
      <c r="D15" s="1638"/>
      <c r="E15" s="54">
        <v>0</v>
      </c>
      <c r="F15" s="1633">
        <v>0</v>
      </c>
      <c r="G15" s="1634"/>
      <c r="H15" s="54">
        <v>0</v>
      </c>
      <c r="K15" s="426" t="str">
        <f>IF(AND(E15&lt;&gt;"",F15&lt;&gt;"",H15&lt;&gt;""),"○","×")</f>
        <v>○</v>
      </c>
      <c r="M15" s="74"/>
    </row>
    <row r="16" spans="1:13" ht="22.5" customHeight="1" thickBot="1">
      <c r="A16" s="550">
        <v>6</v>
      </c>
      <c r="B16" s="738" t="s">
        <v>1055</v>
      </c>
      <c r="C16" s="1637" t="s">
        <v>1054</v>
      </c>
      <c r="D16" s="1638"/>
      <c r="E16" s="54">
        <v>1</v>
      </c>
      <c r="F16" s="1633">
        <v>1</v>
      </c>
      <c r="G16" s="1634"/>
      <c r="H16" s="54">
        <v>1</v>
      </c>
      <c r="K16" s="426" t="str">
        <f t="shared" si="0"/>
        <v>○</v>
      </c>
      <c r="M16" s="74"/>
    </row>
    <row r="17" spans="1:13" ht="22.5" customHeight="1" thickBot="1">
      <c r="A17" s="550">
        <v>7</v>
      </c>
      <c r="B17" s="738" t="s">
        <v>1056</v>
      </c>
      <c r="C17" s="1637" t="s">
        <v>1050</v>
      </c>
      <c r="D17" s="1638"/>
      <c r="E17" s="54">
        <v>1</v>
      </c>
      <c r="F17" s="1633">
        <v>1</v>
      </c>
      <c r="G17" s="1634"/>
      <c r="H17" s="54">
        <v>1</v>
      </c>
      <c r="K17" s="426" t="str">
        <f t="shared" si="0"/>
        <v>○</v>
      </c>
      <c r="M17" s="74"/>
    </row>
    <row r="18" spans="1:13" ht="22.5" customHeight="1" thickBot="1">
      <c r="A18" s="550">
        <v>8</v>
      </c>
      <c r="B18" s="739" t="s">
        <v>1056</v>
      </c>
      <c r="C18" s="1637" t="s">
        <v>1052</v>
      </c>
      <c r="D18" s="1638"/>
      <c r="E18" s="54">
        <v>0</v>
      </c>
      <c r="F18" s="1633">
        <v>0</v>
      </c>
      <c r="G18" s="1634"/>
      <c r="H18" s="54">
        <v>0</v>
      </c>
      <c r="K18" s="426" t="str">
        <f t="shared" si="0"/>
        <v>○</v>
      </c>
      <c r="M18" s="74"/>
    </row>
    <row r="19" spans="1:13" ht="22.5" customHeight="1" thickBot="1">
      <c r="A19" s="550">
        <v>9</v>
      </c>
      <c r="B19" s="739" t="s">
        <v>1056</v>
      </c>
      <c r="C19" s="1655" t="s">
        <v>1054</v>
      </c>
      <c r="D19" s="1656"/>
      <c r="E19" s="54">
        <v>3</v>
      </c>
      <c r="F19" s="1633">
        <v>3</v>
      </c>
      <c r="G19" s="1634"/>
      <c r="H19" s="54">
        <v>2</v>
      </c>
      <c r="K19" s="426" t="str">
        <f t="shared" si="0"/>
        <v>○</v>
      </c>
      <c r="M19" s="74"/>
    </row>
    <row r="20" spans="1:13" ht="22.5" customHeight="1" thickBot="1">
      <c r="A20" s="550">
        <v>10</v>
      </c>
      <c r="B20" s="102"/>
      <c r="C20" s="1635"/>
      <c r="D20" s="1636"/>
      <c r="E20" s="54"/>
      <c r="F20" s="1633"/>
      <c r="G20" s="1634"/>
      <c r="H20" s="54"/>
      <c r="M20" s="74"/>
    </row>
    <row r="21" spans="1:13" ht="22.5" customHeight="1" thickBot="1">
      <c r="A21" s="550">
        <v>11</v>
      </c>
      <c r="B21" s="102"/>
      <c r="C21" s="1635"/>
      <c r="D21" s="1636"/>
      <c r="E21" s="54"/>
      <c r="F21" s="1633"/>
      <c r="G21" s="1634"/>
      <c r="H21" s="54"/>
      <c r="M21" s="74"/>
    </row>
    <row r="22" spans="1:13" ht="22.5" customHeight="1" thickBot="1">
      <c r="A22" s="550">
        <v>12</v>
      </c>
      <c r="B22" s="102"/>
      <c r="C22" s="1635"/>
      <c r="D22" s="1636"/>
      <c r="E22" s="54"/>
      <c r="F22" s="1633"/>
      <c r="G22" s="1634"/>
      <c r="H22" s="54"/>
      <c r="M22" s="74"/>
    </row>
    <row r="23" spans="1:13" ht="22.5" customHeight="1" thickBot="1">
      <c r="A23" s="550">
        <v>13</v>
      </c>
      <c r="B23" s="102"/>
      <c r="C23" s="1635"/>
      <c r="D23" s="1636"/>
      <c r="E23" s="54"/>
      <c r="F23" s="1633"/>
      <c r="G23" s="1634"/>
      <c r="H23" s="54"/>
      <c r="M23" s="74"/>
    </row>
    <row r="24" spans="1:13" ht="22.5" customHeight="1" thickBot="1">
      <c r="A24" s="550">
        <v>14</v>
      </c>
      <c r="B24" s="102"/>
      <c r="C24" s="1635"/>
      <c r="D24" s="1636"/>
      <c r="E24" s="54"/>
      <c r="F24" s="1633"/>
      <c r="G24" s="1634"/>
      <c r="H24" s="54"/>
      <c r="M24" s="74"/>
    </row>
    <row r="25" spans="1:13" ht="22.5" customHeight="1" thickBot="1">
      <c r="A25" s="550">
        <v>15</v>
      </c>
      <c r="B25" s="102"/>
      <c r="C25" s="1635"/>
      <c r="D25" s="1636"/>
      <c r="E25" s="54"/>
      <c r="F25" s="1633"/>
      <c r="G25" s="1634"/>
      <c r="H25" s="54"/>
      <c r="M25" s="74"/>
    </row>
    <row r="26" spans="1:13" ht="22.5" customHeight="1" thickBot="1">
      <c r="A26" s="550">
        <v>16</v>
      </c>
      <c r="B26" s="102"/>
      <c r="C26" s="1635"/>
      <c r="D26" s="1636"/>
      <c r="E26" s="54"/>
      <c r="F26" s="1633"/>
      <c r="G26" s="1634"/>
      <c r="H26" s="54"/>
      <c r="M26" s="74"/>
    </row>
    <row r="27" spans="1:13" ht="22.5" customHeight="1" thickBot="1">
      <c r="A27" s="550">
        <v>17</v>
      </c>
      <c r="B27" s="102"/>
      <c r="C27" s="1635"/>
      <c r="D27" s="1636"/>
      <c r="E27" s="54"/>
      <c r="F27" s="1633"/>
      <c r="G27" s="1634"/>
      <c r="H27" s="54"/>
      <c r="M27" s="74"/>
    </row>
    <row r="28" spans="1:13" ht="22.5" customHeight="1" thickBot="1">
      <c r="A28" s="550">
        <v>18</v>
      </c>
      <c r="B28" s="102"/>
      <c r="C28" s="1635"/>
      <c r="D28" s="1636"/>
      <c r="E28" s="54"/>
      <c r="F28" s="1633"/>
      <c r="G28" s="1634"/>
      <c r="H28" s="54"/>
      <c r="M28" s="74"/>
    </row>
    <row r="29" spans="1:13" ht="22.5" customHeight="1" thickBot="1">
      <c r="A29" s="550">
        <v>19</v>
      </c>
      <c r="B29" s="102"/>
      <c r="C29" s="1635"/>
      <c r="D29" s="1636"/>
      <c r="E29" s="54"/>
      <c r="F29" s="1633"/>
      <c r="G29" s="1634"/>
      <c r="H29" s="54"/>
      <c r="M29" s="74"/>
    </row>
    <row r="30" spans="1:13" ht="22.5" customHeight="1" thickBot="1">
      <c r="A30" s="550">
        <v>20</v>
      </c>
      <c r="B30" s="102"/>
      <c r="C30" s="1635"/>
      <c r="D30" s="1636"/>
      <c r="E30" s="54"/>
      <c r="F30" s="1633"/>
      <c r="G30" s="1634"/>
      <c r="H30" s="54"/>
      <c r="M30" s="163"/>
    </row>
    <row r="31" spans="1:13" ht="33" customHeight="1">
      <c r="A31" s="1654" t="s">
        <v>1057</v>
      </c>
      <c r="B31" s="1654"/>
      <c r="C31" s="1654"/>
      <c r="D31" s="1654"/>
      <c r="E31" s="1654"/>
      <c r="F31" s="1654"/>
      <c r="G31" s="1654"/>
      <c r="H31" s="1654"/>
      <c r="I31" s="1654"/>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39" t="s">
        <v>1061</v>
      </c>
      <c r="B34" s="1640"/>
      <c r="C34" s="1640"/>
      <c r="D34" s="1640"/>
      <c r="E34" s="1640"/>
      <c r="F34" s="1640"/>
      <c r="G34" s="1640"/>
      <c r="H34" s="1641"/>
      <c r="M34" s="74"/>
    </row>
    <row r="35" spans="1:13" ht="20.100000000000001" customHeight="1">
      <c r="A35" s="1642" t="s">
        <v>1859</v>
      </c>
      <c r="B35" s="1643"/>
      <c r="C35" s="1643"/>
      <c r="D35" s="1643"/>
      <c r="E35" s="1643"/>
      <c r="F35" s="1643"/>
      <c r="G35" s="1643"/>
      <c r="H35" s="1644"/>
      <c r="K35" s="426" t="str">
        <f>IF(A35="","×","○")</f>
        <v>○</v>
      </c>
      <c r="M35" s="74"/>
    </row>
    <row r="36" spans="1:13" ht="20.100000000000001" customHeight="1">
      <c r="A36" s="1645"/>
      <c r="B36" s="1646"/>
      <c r="C36" s="1646"/>
      <c r="D36" s="1646"/>
      <c r="E36" s="1646"/>
      <c r="F36" s="1646"/>
      <c r="G36" s="1646"/>
      <c r="H36" s="1647"/>
      <c r="M36" s="74"/>
    </row>
    <row r="37" spans="1:13" ht="20.100000000000001" customHeight="1">
      <c r="A37" s="1645"/>
      <c r="B37" s="1646"/>
      <c r="C37" s="1646"/>
      <c r="D37" s="1646"/>
      <c r="E37" s="1646"/>
      <c r="F37" s="1646"/>
      <c r="G37" s="1646"/>
      <c r="H37" s="1647"/>
      <c r="M37" s="74"/>
    </row>
    <row r="38" spans="1:13" ht="20.100000000000001" customHeight="1" thickBot="1">
      <c r="A38" s="1648"/>
      <c r="B38" s="1649"/>
      <c r="C38" s="1649"/>
      <c r="D38" s="1649"/>
      <c r="E38" s="1649"/>
      <c r="F38" s="1649"/>
      <c r="G38" s="1649"/>
      <c r="H38" s="1650"/>
      <c r="M38" s="74"/>
    </row>
    <row r="39" spans="1:13" ht="24" customHeight="1">
      <c r="A39" s="1654" t="s">
        <v>1062</v>
      </c>
      <c r="B39" s="1654"/>
      <c r="C39" s="1654"/>
      <c r="D39" s="1654"/>
      <c r="E39" s="1654"/>
      <c r="F39" s="1654"/>
      <c r="G39" s="1654"/>
      <c r="H39" s="1654"/>
      <c r="I39" s="1654"/>
      <c r="J39" s="740"/>
      <c r="L39" s="446" t="s">
        <v>1058</v>
      </c>
      <c r="M39" s="74"/>
    </row>
    <row r="40" spans="1:13" ht="20.100000000000001" customHeight="1" thickBot="1">
      <c r="A40" s="1639" t="s">
        <v>1063</v>
      </c>
      <c r="B40" s="1640"/>
      <c r="C40" s="1640"/>
      <c r="D40" s="1640"/>
      <c r="E40" s="1640"/>
      <c r="F40" s="1640"/>
      <c r="G40" s="1640"/>
      <c r="H40" s="1641"/>
      <c r="M40" s="74"/>
    </row>
    <row r="41" spans="1:13" ht="20.100000000000001" customHeight="1">
      <c r="A41" s="1642" t="s">
        <v>1859</v>
      </c>
      <c r="B41" s="1643"/>
      <c r="C41" s="1643"/>
      <c r="D41" s="1643"/>
      <c r="E41" s="1643"/>
      <c r="F41" s="1643"/>
      <c r="G41" s="1643"/>
      <c r="H41" s="1644"/>
      <c r="K41" s="426" t="str">
        <f>IF(A41="","×","○")</f>
        <v>○</v>
      </c>
      <c r="M41" s="74"/>
    </row>
    <row r="42" spans="1:13" ht="20.100000000000001" customHeight="1">
      <c r="A42" s="1645"/>
      <c r="B42" s="1646"/>
      <c r="C42" s="1646"/>
      <c r="D42" s="1646"/>
      <c r="E42" s="1646"/>
      <c r="F42" s="1646"/>
      <c r="G42" s="1646"/>
      <c r="H42" s="1647"/>
      <c r="M42" s="74"/>
    </row>
    <row r="43" spans="1:13" ht="20.100000000000001" customHeight="1">
      <c r="A43" s="1645"/>
      <c r="B43" s="1646"/>
      <c r="C43" s="1646"/>
      <c r="D43" s="1646"/>
      <c r="E43" s="1646"/>
      <c r="F43" s="1646"/>
      <c r="G43" s="1646"/>
      <c r="H43" s="1647"/>
      <c r="M43" s="74"/>
    </row>
    <row r="44" spans="1:13" ht="20.100000000000001" customHeight="1" thickBot="1">
      <c r="A44" s="1648"/>
      <c r="B44" s="1649"/>
      <c r="C44" s="1649"/>
      <c r="D44" s="1649"/>
      <c r="E44" s="1649"/>
      <c r="F44" s="1649"/>
      <c r="G44" s="1649"/>
      <c r="H44" s="1650"/>
      <c r="M44" s="15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1" customWidth="1"/>
    <col min="3" max="3" width="21.109375" style="120" customWidth="1"/>
    <col min="4" max="4" width="10.6640625" style="120" customWidth="1"/>
    <col min="5" max="5" width="21.109375" style="120" customWidth="1"/>
    <col min="6" max="6" width="10.6640625" style="120" customWidth="1"/>
    <col min="7" max="7" width="21.109375" style="120" customWidth="1"/>
    <col min="8" max="8" width="6.6640625" style="111" customWidth="1"/>
    <col min="9" max="16384" width="9" style="111"/>
  </cols>
  <sheetData>
    <row r="1" spans="1:9" ht="50.1" customHeight="1">
      <c r="A1" s="1250" t="s">
        <v>1566</v>
      </c>
      <c r="B1" s="1251"/>
      <c r="C1" s="1251"/>
      <c r="D1" s="1251"/>
      <c r="E1" s="1251"/>
      <c r="F1" s="1251"/>
      <c r="G1" s="1251"/>
      <c r="H1" s="1252"/>
      <c r="I1" s="110"/>
    </row>
    <row r="2" spans="1:9" ht="60" customHeight="1" thickBot="1">
      <c r="A2" s="112"/>
      <c r="B2" s="1253" t="s">
        <v>150</v>
      </c>
      <c r="C2" s="1253"/>
      <c r="D2" s="1253"/>
      <c r="E2" s="1253"/>
      <c r="F2" s="1253"/>
      <c r="G2" s="1253"/>
      <c r="H2" s="113"/>
    </row>
    <row r="3" spans="1:9" ht="24.9"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54" t="s">
        <v>157</v>
      </c>
      <c r="D8" s="1254"/>
      <c r="E8" s="1254"/>
      <c r="F8" s="1254"/>
      <c r="G8" s="1254"/>
      <c r="H8" s="121"/>
      <c r="I8" s="110"/>
    </row>
    <row r="9" spans="1:9" s="122" customFormat="1" ht="20.100000000000001" customHeight="1" thickBot="1">
      <c r="A9" s="124"/>
      <c r="B9" s="125"/>
      <c r="C9" s="1255" t="s">
        <v>158</v>
      </c>
      <c r="D9" s="1256"/>
      <c r="E9" s="1256"/>
      <c r="F9" s="1256"/>
      <c r="G9" s="1256"/>
      <c r="H9" s="126"/>
      <c r="I9" s="124"/>
    </row>
    <row r="10" spans="1:9" ht="39.9" customHeight="1" thickBot="1">
      <c r="A10" s="118"/>
      <c r="B10" s="127"/>
      <c r="C10" s="1257" t="s">
        <v>159</v>
      </c>
      <c r="D10" s="1258"/>
      <c r="E10" s="1258"/>
      <c r="F10" s="1258"/>
      <c r="G10" s="1259"/>
      <c r="H10" s="121"/>
      <c r="I10" s="118"/>
    </row>
    <row r="11" spans="1:9" ht="5.0999999999999996" customHeight="1">
      <c r="A11" s="118"/>
      <c r="B11" s="127"/>
      <c r="C11" s="128"/>
      <c r="D11" s="128"/>
      <c r="E11" s="128"/>
      <c r="F11" s="128"/>
      <c r="G11" s="128"/>
      <c r="H11" s="121"/>
    </row>
    <row r="12" spans="1:9" ht="24.9" customHeight="1">
      <c r="A12" s="129" t="s">
        <v>151</v>
      </c>
      <c r="B12" s="130" t="s">
        <v>160</v>
      </c>
      <c r="C12" s="131"/>
      <c r="D12" s="131"/>
      <c r="E12" s="131"/>
      <c r="F12" s="131"/>
      <c r="G12" s="131"/>
      <c r="H12" s="132"/>
    </row>
    <row r="13" spans="1:9" ht="24.9"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60" t="s">
        <v>164</v>
      </c>
      <c r="D15" s="1260"/>
      <c r="E15" s="1260"/>
      <c r="F15" s="1260"/>
      <c r="G15" s="1260"/>
      <c r="H15" s="121"/>
      <c r="I15" s="110"/>
    </row>
    <row r="16" spans="1:9" ht="66.75" customHeight="1">
      <c r="A16" s="118"/>
      <c r="B16" s="119"/>
      <c r="C16" s="1245" t="s">
        <v>165</v>
      </c>
      <c r="D16" s="1245"/>
      <c r="E16" s="1245"/>
      <c r="F16" s="1245"/>
      <c r="G16" s="1245"/>
      <c r="H16" s="121"/>
    </row>
    <row r="17" spans="1:8" ht="20.100000000000001" customHeight="1">
      <c r="A17" s="135"/>
      <c r="B17" s="136" t="s">
        <v>162</v>
      </c>
      <c r="C17" s="140" t="s">
        <v>1259</v>
      </c>
      <c r="D17" s="138"/>
      <c r="E17" s="138"/>
      <c r="F17" s="138"/>
      <c r="G17" s="138"/>
      <c r="H17" s="139"/>
    </row>
    <row r="18" spans="1:8" ht="39.9" customHeight="1">
      <c r="A18" s="118"/>
      <c r="B18" s="119"/>
      <c r="C18" s="1246" t="s">
        <v>1258</v>
      </c>
      <c r="D18" s="1246"/>
      <c r="E18" s="1246"/>
      <c r="F18" s="1246"/>
      <c r="G18" s="1246"/>
      <c r="H18" s="121"/>
    </row>
    <row r="19" spans="1:8" ht="39.9" customHeight="1" thickBot="1">
      <c r="A19" s="118"/>
      <c r="B19" s="119"/>
      <c r="C19" s="1245" t="s">
        <v>166</v>
      </c>
      <c r="D19" s="1245"/>
      <c r="E19" s="1245"/>
      <c r="F19" s="1245"/>
      <c r="G19" s="1245"/>
      <c r="H19" s="121"/>
    </row>
    <row r="20" spans="1:8" ht="39.9" customHeight="1" thickBot="1">
      <c r="A20" s="118"/>
      <c r="B20" s="119"/>
      <c r="C20" s="1247" t="s">
        <v>167</v>
      </c>
      <c r="D20" s="1248"/>
      <c r="E20" s="1248"/>
      <c r="F20" s="1248"/>
      <c r="G20" s="1249"/>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 customHeight="1">
      <c r="A23" s="118"/>
      <c r="B23" s="119"/>
      <c r="C23" s="1245" t="s">
        <v>1260</v>
      </c>
      <c r="D23" s="1245"/>
      <c r="E23" s="1245"/>
      <c r="F23" s="1245"/>
      <c r="G23" s="1245"/>
      <c r="H23" s="121"/>
    </row>
    <row r="24" spans="1:8" ht="39.9" customHeight="1">
      <c r="A24" s="118"/>
      <c r="B24" s="119"/>
      <c r="C24" s="1246" t="s">
        <v>169</v>
      </c>
      <c r="D24" s="1246"/>
      <c r="E24" s="1246"/>
      <c r="F24" s="1246"/>
      <c r="G24" s="1246"/>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 customHeight="1" thickBot="1">
      <c r="A28" s="118"/>
      <c r="B28" s="119"/>
      <c r="C28" s="1245" t="s">
        <v>174</v>
      </c>
      <c r="D28" s="1245"/>
      <c r="E28" s="1245"/>
      <c r="F28" s="1245"/>
      <c r="G28" s="1245"/>
      <c r="H28" s="121"/>
    </row>
    <row r="29" spans="1:8" ht="39.9" customHeight="1" thickBot="1">
      <c r="A29" s="118"/>
      <c r="B29" s="119"/>
      <c r="C29" s="1247" t="s">
        <v>175</v>
      </c>
      <c r="D29" s="1248"/>
      <c r="E29" s="1248"/>
      <c r="F29" s="1248"/>
      <c r="G29" s="1249"/>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 customHeight="1">
      <c r="A33" s="118"/>
      <c r="B33" s="127"/>
      <c r="C33" s="1244" t="s">
        <v>178</v>
      </c>
      <c r="D33" s="1244"/>
      <c r="E33" s="1244"/>
      <c r="F33" s="1244"/>
      <c r="G33" s="1244"/>
      <c r="H33" s="121"/>
    </row>
    <row r="34" spans="1:9" ht="39.9" customHeight="1">
      <c r="A34" s="118"/>
      <c r="B34" s="127"/>
      <c r="C34" s="1245" t="s">
        <v>179</v>
      </c>
      <c r="D34" s="1245"/>
      <c r="E34" s="1245"/>
      <c r="F34" s="1245"/>
      <c r="G34" s="1245"/>
      <c r="H34" s="121"/>
    </row>
    <row r="35" spans="1:9" ht="5.0999999999999996" customHeight="1">
      <c r="A35" s="118"/>
      <c r="B35" s="119"/>
      <c r="C35" s="141"/>
      <c r="D35" s="141"/>
      <c r="E35" s="141"/>
      <c r="F35" s="141"/>
      <c r="G35" s="141"/>
      <c r="H35" s="121"/>
    </row>
    <row r="36" spans="1:9">
      <c r="I36" s="149"/>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10" sqref="E10:F10"/>
    </sheetView>
  </sheetViews>
  <sheetFormatPr defaultColWidth="9" defaultRowHeight="20.100000000000001" customHeight="1"/>
  <cols>
    <col min="1" max="1" width="3.6640625" style="727" customWidth="1"/>
    <col min="2" max="2" width="22.6640625" style="727" customWidth="1"/>
    <col min="3" max="3" width="16.88671875" style="727" customWidth="1"/>
    <col min="4" max="4" width="42.33203125" style="727" customWidth="1"/>
    <col min="5" max="5" width="3.33203125" style="727" customWidth="1"/>
    <col min="6" max="6" width="37.88671875" style="727" customWidth="1"/>
    <col min="7" max="7" width="19.88671875" style="727" customWidth="1"/>
    <col min="8" max="8" width="12.33203125" style="727" customWidth="1"/>
    <col min="9" max="9" width="2.6640625" style="727" customWidth="1"/>
    <col min="10" max="10" width="6" style="727" hidden="1" customWidth="1"/>
    <col min="11" max="11" width="2.21875" style="727" customWidth="1"/>
    <col min="12" max="12" width="1.33203125" style="743" customWidth="1"/>
    <col min="13" max="13" width="82.77734375" style="744" bestFit="1" customWidth="1"/>
    <col min="14" max="14" width="0" style="727" hidden="1" customWidth="1"/>
    <col min="15" max="15" width="5" style="727" hidden="1" customWidth="1"/>
    <col min="16" max="16384" width="9" style="727"/>
  </cols>
  <sheetData>
    <row r="1" spans="1:15" ht="34.5" customHeight="1" thickBot="1">
      <c r="A1" s="1322" t="s">
        <v>1064</v>
      </c>
      <c r="B1" s="1322"/>
      <c r="C1" s="1322"/>
      <c r="D1" s="1322"/>
      <c r="E1" s="1322"/>
      <c r="F1" s="1322"/>
      <c r="G1" s="1322"/>
      <c r="H1" s="1322"/>
      <c r="K1" s="53"/>
    </row>
    <row r="2" spans="1:15" ht="31.5" customHeight="1" thickTop="1" thickBot="1">
      <c r="A2" s="1268" t="s">
        <v>910</v>
      </c>
      <c r="B2" s="1268"/>
      <c r="C2" s="1268"/>
      <c r="D2" s="1268"/>
      <c r="E2" s="1268"/>
      <c r="F2" s="1268"/>
      <c r="G2" s="1350"/>
      <c r="H2" s="427" t="str">
        <f>IF(COUNTIF(J7:J46,"×")&gt;=1,"未入力あり","入力済")</f>
        <v>入力済</v>
      </c>
      <c r="I2" s="1669"/>
      <c r="J2" s="745"/>
      <c r="K2" s="53"/>
      <c r="M2" s="85"/>
    </row>
    <row r="3" spans="1:15" ht="5.0999999999999996" customHeight="1" thickTop="1">
      <c r="I3" s="1669"/>
      <c r="J3" s="745"/>
      <c r="K3" s="8"/>
    </row>
    <row r="4" spans="1:15" ht="20.100000000000001" customHeight="1">
      <c r="D4" s="494" t="s">
        <v>757</v>
      </c>
      <c r="E4" s="1651" t="str">
        <f>表紙!E2</f>
        <v>公益財団法人　日本生命済生会　日本生命病院</v>
      </c>
      <c r="F4" s="1652"/>
      <c r="G4" s="1652"/>
      <c r="H4" s="1653"/>
      <c r="I4" s="1669"/>
      <c r="J4" s="745"/>
      <c r="K4" s="53"/>
    </row>
    <row r="5" spans="1:15" ht="20.100000000000001" customHeight="1">
      <c r="D5" s="1139" t="s">
        <v>911</v>
      </c>
      <c r="E5" s="1" t="str">
        <f>別紙1未充足要件!E5</f>
        <v>令和６年９月１日時点</v>
      </c>
      <c r="F5" s="430"/>
      <c r="I5" s="1669"/>
      <c r="J5" s="745"/>
      <c r="M5" s="177" t="s">
        <v>234</v>
      </c>
    </row>
    <row r="6" spans="1:15" s="477" customFormat="1" ht="18" customHeight="1" thickBot="1">
      <c r="A6" s="1682" t="s">
        <v>1065</v>
      </c>
      <c r="B6" s="1682"/>
      <c r="C6" s="1682"/>
      <c r="D6" s="1682"/>
      <c r="E6" s="1682"/>
      <c r="F6" s="1682"/>
      <c r="G6" s="1682"/>
      <c r="H6" s="1682"/>
      <c r="I6" s="1669"/>
      <c r="J6" s="745"/>
      <c r="L6" s="51"/>
      <c r="M6" s="74"/>
    </row>
    <row r="7" spans="1:15" s="477" customFormat="1" ht="18" customHeight="1" thickBot="1">
      <c r="A7" s="477" t="s">
        <v>1066</v>
      </c>
      <c r="D7" s="746"/>
      <c r="E7" s="1523">
        <v>0</v>
      </c>
      <c r="F7" s="1524"/>
      <c r="G7" s="1681" t="str">
        <f>G12</f>
        <v>（期間：令和５年１月１日～12月31日）</v>
      </c>
      <c r="H7" s="1682"/>
      <c r="J7" s="477" t="str">
        <f>IF(E7="","×","○")</f>
        <v>○</v>
      </c>
      <c r="L7" s="51"/>
      <c r="M7" s="74"/>
      <c r="N7" s="531">
        <v>0</v>
      </c>
      <c r="O7" s="540">
        <v>100</v>
      </c>
    </row>
    <row r="8" spans="1:15" s="477" customFormat="1" ht="53.25" customHeight="1" thickBot="1">
      <c r="A8" s="479" t="s">
        <v>1067</v>
      </c>
      <c r="B8" s="479"/>
      <c r="C8" s="479"/>
      <c r="D8" s="746"/>
      <c r="E8" s="1679" t="s">
        <v>1900</v>
      </c>
      <c r="F8" s="1680"/>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82" t="s">
        <v>1070</v>
      </c>
      <c r="B10" s="1621"/>
      <c r="C10" s="1621"/>
      <c r="D10" s="1685"/>
      <c r="E10" s="1683" t="s">
        <v>1805</v>
      </c>
      <c r="F10" s="1684"/>
      <c r="G10" s="746" t="s">
        <v>1071</v>
      </c>
      <c r="H10" s="746"/>
      <c r="J10" s="477" t="str">
        <f>IF(E10="","×","○")</f>
        <v>○</v>
      </c>
      <c r="L10" s="51"/>
      <c r="M10" s="74"/>
    </row>
    <row r="11" spans="1:15" s="477" customFormat="1" ht="32.25" customHeight="1" thickBot="1">
      <c r="A11" s="479" t="s">
        <v>1072</v>
      </c>
      <c r="B11" s="479"/>
      <c r="C11" s="479"/>
      <c r="D11" s="479"/>
      <c r="E11" s="1679" t="s">
        <v>1860</v>
      </c>
      <c r="F11" s="1680"/>
      <c r="G11" s="746" t="s">
        <v>1073</v>
      </c>
      <c r="H11" s="746"/>
      <c r="J11" s="477" t="str">
        <f>IF(AND(E10="はい",E11=""),"×","○")</f>
        <v>○</v>
      </c>
      <c r="L11" s="51"/>
      <c r="M11" s="74"/>
    </row>
    <row r="12" spans="1:15" s="477" customFormat="1" ht="28.5" customHeight="1" thickBot="1">
      <c r="A12" s="479" t="s">
        <v>1074</v>
      </c>
      <c r="B12" s="479"/>
      <c r="C12" s="479"/>
      <c r="D12" s="479"/>
      <c r="E12" s="1523">
        <v>100</v>
      </c>
      <c r="F12" s="1524"/>
      <c r="G12" s="1681" t="str">
        <f>G18</f>
        <v>（期間：令和５年１月１日～12月31日）</v>
      </c>
      <c r="H12" s="1682"/>
      <c r="J12" s="477" t="str">
        <f>IF(AND(E10="はい",E12=""),"×","○")</f>
        <v>○</v>
      </c>
      <c r="L12" s="51"/>
      <c r="M12" s="166"/>
      <c r="N12" s="531">
        <v>0</v>
      </c>
      <c r="O12" s="540">
        <v>1000</v>
      </c>
    </row>
    <row r="13" spans="1:15" s="477" customFormat="1" ht="18" customHeight="1" thickBot="1">
      <c r="A13" s="1133" t="s">
        <v>1765</v>
      </c>
      <c r="B13" s="1133"/>
      <c r="C13" s="479"/>
      <c r="D13" s="746"/>
      <c r="E13" s="747"/>
      <c r="F13" s="747"/>
      <c r="G13" s="746"/>
      <c r="H13" s="746"/>
      <c r="L13" s="51"/>
      <c r="M13" s="74"/>
    </row>
    <row r="14" spans="1:15" s="477" customFormat="1" ht="18" customHeight="1" thickBot="1">
      <c r="A14" s="1133" t="s">
        <v>1075</v>
      </c>
      <c r="B14" s="1133"/>
      <c r="C14" s="479"/>
      <c r="D14" s="746"/>
      <c r="E14" s="1679" t="s">
        <v>1856</v>
      </c>
      <c r="F14" s="1680"/>
      <c r="G14" s="746" t="s">
        <v>1073</v>
      </c>
      <c r="H14" s="746"/>
      <c r="J14" s="477" t="str">
        <f>IF(E14="","×","○")</f>
        <v>○</v>
      </c>
      <c r="L14" s="51"/>
      <c r="M14" s="163"/>
    </row>
    <row r="15" spans="1:15" s="477" customFormat="1" ht="18" customHeight="1" thickBot="1">
      <c r="A15" s="1133" t="s">
        <v>1076</v>
      </c>
      <c r="B15" s="1133"/>
      <c r="C15" s="479"/>
      <c r="D15" s="746"/>
      <c r="E15" s="1683" t="s">
        <v>1805</v>
      </c>
      <c r="F15" s="1684"/>
      <c r="G15" s="746" t="s">
        <v>1071</v>
      </c>
      <c r="H15" s="746"/>
      <c r="J15" s="477" t="str">
        <f t="shared" ref="J15:J16" si="0">IF(E15="","×","○")</f>
        <v>○</v>
      </c>
      <c r="L15" s="51"/>
      <c r="M15" s="163"/>
    </row>
    <row r="16" spans="1:15" s="477" customFormat="1" ht="18" customHeight="1" thickBot="1">
      <c r="A16" s="1133" t="s">
        <v>1077</v>
      </c>
      <c r="B16" s="1133"/>
      <c r="C16" s="479"/>
      <c r="D16" s="746"/>
      <c r="E16" s="1683" t="s">
        <v>1804</v>
      </c>
      <c r="F16" s="1684"/>
      <c r="G16" s="746" t="s">
        <v>1071</v>
      </c>
      <c r="H16" s="746"/>
      <c r="J16" s="477" t="str">
        <f t="shared" si="0"/>
        <v>○</v>
      </c>
      <c r="L16" s="51"/>
      <c r="M16" s="163"/>
    </row>
    <row r="17" spans="1:15" s="477" customFormat="1" ht="18" customHeight="1" thickBot="1">
      <c r="A17" s="1133" t="s">
        <v>1766</v>
      </c>
      <c r="B17" s="1133"/>
      <c r="C17" s="479"/>
      <c r="D17" s="746"/>
      <c r="E17" s="1686"/>
      <c r="F17" s="1686"/>
      <c r="H17" s="746"/>
      <c r="L17" s="51"/>
      <c r="M17" s="163"/>
    </row>
    <row r="18" spans="1:15" s="477" customFormat="1" ht="18" customHeight="1" thickBot="1">
      <c r="A18" s="1133" t="s">
        <v>1767</v>
      </c>
      <c r="B18" s="1133"/>
      <c r="C18" s="479"/>
      <c r="D18" s="746"/>
      <c r="E18" s="1523">
        <v>0</v>
      </c>
      <c r="F18" s="1524"/>
      <c r="G18" s="477" t="s">
        <v>1769</v>
      </c>
      <c r="H18" s="746"/>
      <c r="J18" s="477" t="str">
        <f>IF(E18="","×","○")</f>
        <v>○</v>
      </c>
      <c r="L18" s="51"/>
      <c r="M18" s="163"/>
      <c r="N18" s="531">
        <v>0</v>
      </c>
      <c r="O18" s="540">
        <v>100</v>
      </c>
    </row>
    <row r="19" spans="1:15" s="477" customFormat="1" ht="18" customHeight="1" thickBot="1">
      <c r="A19" s="1133" t="s">
        <v>1768</v>
      </c>
      <c r="B19" s="1133"/>
      <c r="C19" s="479"/>
      <c r="D19" s="746"/>
      <c r="E19" s="1523">
        <v>0</v>
      </c>
      <c r="F19" s="1524"/>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83" t="s">
        <v>1804</v>
      </c>
      <c r="F20" s="1684"/>
      <c r="G20" s="746" t="s">
        <v>1071</v>
      </c>
      <c r="H20" s="746"/>
      <c r="J20" s="477" t="str">
        <f>IF(E20="","×","○")</f>
        <v>○</v>
      </c>
      <c r="L20" s="51"/>
      <c r="M20" s="74"/>
    </row>
    <row r="21" spans="1:15" s="477" customFormat="1" ht="51" customHeight="1" thickBot="1">
      <c r="A21" s="479" t="s">
        <v>1079</v>
      </c>
      <c r="B21" s="479"/>
      <c r="C21" s="479"/>
      <c r="D21" s="746"/>
      <c r="E21" s="1679"/>
      <c r="F21" s="1680"/>
      <c r="G21" s="746" t="s">
        <v>1073</v>
      </c>
      <c r="H21" s="746"/>
      <c r="J21" s="477" t="str">
        <f>IF(AND(E20="はい",E21=""),"×","○")</f>
        <v>○</v>
      </c>
      <c r="L21" s="51"/>
      <c r="M21" s="74"/>
    </row>
    <row r="22" spans="1:15" s="477" customFormat="1" ht="18" customHeight="1" thickBot="1">
      <c r="A22" s="479" t="s">
        <v>1080</v>
      </c>
      <c r="B22" s="479"/>
      <c r="C22" s="479"/>
      <c r="D22" s="746"/>
      <c r="E22" s="1683" t="s">
        <v>1804</v>
      </c>
      <c r="F22" s="1684"/>
      <c r="G22" s="746" t="s">
        <v>1071</v>
      </c>
      <c r="H22" s="746"/>
      <c r="J22" s="477" t="str">
        <f>IF(E22="","×","○")</f>
        <v>○</v>
      </c>
      <c r="L22" s="51"/>
      <c r="M22" s="74"/>
    </row>
    <row r="23" spans="1:15" s="477" customFormat="1" ht="55.5" customHeight="1" thickBot="1">
      <c r="A23" s="479" t="s">
        <v>1081</v>
      </c>
      <c r="B23" s="479"/>
      <c r="C23" s="479"/>
      <c r="D23" s="746"/>
      <c r="E23" s="1679"/>
      <c r="F23" s="1680"/>
      <c r="G23" s="746" t="s">
        <v>1073</v>
      </c>
      <c r="H23" s="746"/>
      <c r="J23" s="477" t="str">
        <f>IF(AND(E22="はい",E23=""),"×","○")</f>
        <v>○</v>
      </c>
      <c r="L23" s="51"/>
      <c r="M23" s="74"/>
    </row>
    <row r="24" spans="1:15" s="477" customFormat="1" ht="18" customHeight="1" thickBot="1">
      <c r="A24" s="479" t="s">
        <v>1082</v>
      </c>
      <c r="B24" s="479"/>
      <c r="C24" s="479"/>
      <c r="D24" s="746"/>
      <c r="E24" s="1683" t="s">
        <v>1805</v>
      </c>
      <c r="F24" s="1684"/>
      <c r="G24" s="746" t="s">
        <v>1071</v>
      </c>
      <c r="H24" s="746"/>
      <c r="J24" s="477" t="str">
        <f t="shared" ref="J24:J28" si="1">IF(E24="","×","○")</f>
        <v>○</v>
      </c>
      <c r="L24" s="51"/>
      <c r="M24" s="74"/>
    </row>
    <row r="25" spans="1:15" s="477" customFormat="1" ht="18" customHeight="1" thickBot="1">
      <c r="A25" s="479" t="s">
        <v>1083</v>
      </c>
      <c r="B25" s="479"/>
      <c r="C25" s="479"/>
      <c r="D25" s="746"/>
      <c r="E25" s="1683" t="s">
        <v>1805</v>
      </c>
      <c r="F25" s="1684"/>
      <c r="G25" s="746" t="s">
        <v>1071</v>
      </c>
      <c r="H25" s="746"/>
      <c r="J25" s="477" t="str">
        <f t="shared" si="1"/>
        <v>○</v>
      </c>
      <c r="L25" s="51"/>
      <c r="M25" s="74"/>
    </row>
    <row r="26" spans="1:15" s="477" customFormat="1" ht="18" customHeight="1" thickBot="1">
      <c r="A26" s="479" t="s">
        <v>1084</v>
      </c>
      <c r="B26" s="479"/>
      <c r="C26" s="479"/>
      <c r="D26" s="746"/>
      <c r="E26" s="1683" t="s">
        <v>1805</v>
      </c>
      <c r="F26" s="1684"/>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83" t="s">
        <v>1804</v>
      </c>
      <c r="F28" s="1684"/>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523">
        <v>8</v>
      </c>
      <c r="F30" s="1524"/>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523">
        <v>0</v>
      </c>
      <c r="F31" s="1524"/>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523">
        <v>0</v>
      </c>
      <c r="F32" s="1524"/>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523">
        <v>0</v>
      </c>
      <c r="F33" s="1524"/>
      <c r="G33" s="477" t="str">
        <f>G32</f>
        <v>（期間：令和５年１月１日～12月31日）</v>
      </c>
      <c r="H33" s="746"/>
      <c r="J33" s="477" t="str">
        <f>IF(E33="","×","○")</f>
        <v>○</v>
      </c>
      <c r="L33" s="51"/>
      <c r="M33" s="74"/>
      <c r="N33" s="531">
        <v>0</v>
      </c>
      <c r="O33" s="540">
        <v>100</v>
      </c>
    </row>
    <row r="34" spans="1:15" s="477" customFormat="1" ht="16.5" customHeight="1" thickBot="1">
      <c r="A34" s="1668" t="s">
        <v>1092</v>
      </c>
      <c r="B34" s="1668"/>
      <c r="C34" s="1668"/>
      <c r="D34" s="1668"/>
      <c r="E34" s="1668"/>
      <c r="F34" s="1668"/>
      <c r="G34" s="1668"/>
      <c r="H34" s="1668"/>
      <c r="L34" s="51"/>
      <c r="M34" s="74"/>
    </row>
    <row r="35" spans="1:15" s="477" customFormat="1" ht="18" customHeight="1" thickBot="1">
      <c r="A35" s="479" t="s">
        <v>1093</v>
      </c>
      <c r="B35" s="479"/>
      <c r="C35" s="479"/>
      <c r="D35" s="746"/>
      <c r="E35" s="1523">
        <v>1</v>
      </c>
      <c r="F35" s="1524"/>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1" t="s">
        <v>1094</v>
      </c>
      <c r="B37" s="1621"/>
      <c r="C37" s="1621"/>
      <c r="D37" s="1621"/>
      <c r="E37" s="1621"/>
      <c r="F37" s="1621"/>
      <c r="G37" s="1621"/>
      <c r="L37" s="51"/>
      <c r="M37" s="74"/>
    </row>
    <row r="38" spans="1:15" s="477" customFormat="1" ht="13.5" customHeight="1">
      <c r="A38" s="1621" t="s">
        <v>1095</v>
      </c>
      <c r="B38" s="1621"/>
      <c r="C38" s="1621"/>
      <c r="D38" s="1621"/>
      <c r="E38" s="1621"/>
      <c r="F38" s="1621"/>
      <c r="G38" s="1621"/>
      <c r="L38" s="51"/>
      <c r="M38" s="74"/>
    </row>
    <row r="39" spans="1:15" s="477" customFormat="1" ht="13.5" customHeight="1">
      <c r="A39" s="1621" t="s">
        <v>1096</v>
      </c>
      <c r="B39" s="1621"/>
      <c r="C39" s="1621"/>
      <c r="D39" s="1621"/>
      <c r="E39" s="1621"/>
      <c r="F39" s="1621"/>
      <c r="G39" s="1621"/>
      <c r="L39" s="51"/>
      <c r="M39" s="74"/>
    </row>
    <row r="40" spans="1:15" s="477" customFormat="1" ht="13.5" customHeight="1">
      <c r="A40" s="1621" t="s">
        <v>1097</v>
      </c>
      <c r="B40" s="1621"/>
      <c r="C40" s="1621"/>
      <c r="D40" s="1621"/>
      <c r="E40" s="1621"/>
      <c r="F40" s="1621"/>
      <c r="G40" s="1621"/>
      <c r="L40" s="51"/>
      <c r="M40" s="74"/>
    </row>
    <row r="41" spans="1:15" ht="18" customHeight="1">
      <c r="A41" s="1596"/>
      <c r="B41" s="1501" t="s">
        <v>1098</v>
      </c>
      <c r="C41" s="1501"/>
      <c r="D41" s="1594" t="s">
        <v>1099</v>
      </c>
      <c r="E41" s="1340"/>
      <c r="F41" s="1340"/>
      <c r="G41" s="1341"/>
      <c r="H41" s="1672" t="s">
        <v>1100</v>
      </c>
      <c r="M41" s="74"/>
    </row>
    <row r="42" spans="1:15" ht="27.9" customHeight="1">
      <c r="A42" s="1596"/>
      <c r="B42" s="749" t="s">
        <v>1101</v>
      </c>
      <c r="C42" s="750" t="s">
        <v>1102</v>
      </c>
      <c r="D42" s="1595"/>
      <c r="E42" s="1670"/>
      <c r="F42" s="1670"/>
      <c r="G42" s="1671"/>
      <c r="H42" s="1672"/>
      <c r="M42" s="74"/>
    </row>
    <row r="43" spans="1:15" ht="18" customHeight="1">
      <c r="A43" s="751" t="s">
        <v>1048</v>
      </c>
      <c r="B43" s="752" t="s">
        <v>1103</v>
      </c>
      <c r="C43" s="753" t="s">
        <v>1104</v>
      </c>
      <c r="D43" s="1673" t="s">
        <v>1105</v>
      </c>
      <c r="E43" s="1674"/>
      <c r="F43" s="1674"/>
      <c r="G43" s="1675"/>
      <c r="H43" s="751" t="s">
        <v>1106</v>
      </c>
      <c r="M43" s="74"/>
    </row>
    <row r="44" spans="1:15" ht="27.9" customHeight="1">
      <c r="A44" s="751" t="s">
        <v>1048</v>
      </c>
      <c r="B44" s="752" t="s">
        <v>1103</v>
      </c>
      <c r="C44" s="753" t="s">
        <v>504</v>
      </c>
      <c r="D44" s="1673" t="s">
        <v>1107</v>
      </c>
      <c r="E44" s="1674"/>
      <c r="F44" s="1674"/>
      <c r="G44" s="1675"/>
      <c r="H44" s="751" t="s">
        <v>1106</v>
      </c>
      <c r="M44" s="74"/>
    </row>
    <row r="45" spans="1:15" ht="27.9" customHeight="1" thickBot="1">
      <c r="A45" s="751" t="s">
        <v>1048</v>
      </c>
      <c r="B45" s="754" t="s">
        <v>1103</v>
      </c>
      <c r="C45" s="755" t="s">
        <v>1108</v>
      </c>
      <c r="D45" s="1676" t="s">
        <v>1109</v>
      </c>
      <c r="E45" s="1677"/>
      <c r="F45" s="1677"/>
      <c r="G45" s="1678"/>
      <c r="H45" s="756" t="s">
        <v>1110</v>
      </c>
      <c r="M45" s="74"/>
    </row>
    <row r="46" spans="1:15" ht="31.5" customHeight="1" thickBot="1">
      <c r="A46" s="441">
        <v>1</v>
      </c>
      <c r="B46" s="48" t="s">
        <v>1861</v>
      </c>
      <c r="C46" s="48" t="s">
        <v>1862</v>
      </c>
      <c r="D46" s="1320" t="s">
        <v>1863</v>
      </c>
      <c r="E46" s="1397"/>
      <c r="F46" s="1397"/>
      <c r="G46" s="1321"/>
      <c r="H46" s="36" t="s">
        <v>1802</v>
      </c>
      <c r="J46" s="477" t="str">
        <f>IF(AND(E35&gt;0,OR(B46="",C46="",D46="",H46="")),"×","〇")</f>
        <v>〇</v>
      </c>
      <c r="M46" s="74"/>
    </row>
    <row r="47" spans="1:15" ht="31.5" customHeight="1" thickBot="1">
      <c r="A47" s="441">
        <v>2</v>
      </c>
      <c r="B47" s="48"/>
      <c r="C47" s="48"/>
      <c r="D47" s="1320"/>
      <c r="E47" s="1397"/>
      <c r="F47" s="1397"/>
      <c r="G47" s="1321"/>
      <c r="H47" s="36"/>
      <c r="J47" s="661"/>
      <c r="M47" s="74"/>
    </row>
    <row r="48" spans="1:15" ht="31.5" customHeight="1" thickBot="1">
      <c r="A48" s="441">
        <v>3</v>
      </c>
      <c r="B48" s="48"/>
      <c r="C48" s="48"/>
      <c r="D48" s="1320"/>
      <c r="E48" s="1397"/>
      <c r="F48" s="1397"/>
      <c r="G48" s="1321"/>
      <c r="H48" s="36"/>
      <c r="M48" s="74"/>
    </row>
    <row r="49" spans="1:13" ht="31.5" customHeight="1" thickBot="1">
      <c r="A49" s="441">
        <v>4</v>
      </c>
      <c r="B49" s="48"/>
      <c r="C49" s="48"/>
      <c r="D49" s="1320"/>
      <c r="E49" s="1397"/>
      <c r="F49" s="1397"/>
      <c r="G49" s="1321"/>
      <c r="H49" s="36"/>
      <c r="M49" s="74"/>
    </row>
    <row r="50" spans="1:13" ht="31.5" customHeight="1" thickBot="1">
      <c r="A50" s="441">
        <v>5</v>
      </c>
      <c r="B50" s="48"/>
      <c r="C50" s="48"/>
      <c r="D50" s="1320"/>
      <c r="E50" s="1397"/>
      <c r="F50" s="1397"/>
      <c r="G50" s="1321"/>
      <c r="H50" s="36"/>
      <c r="M50" s="74"/>
    </row>
    <row r="51" spans="1:13" ht="31.5" customHeight="1" thickBot="1">
      <c r="A51" s="441">
        <v>6</v>
      </c>
      <c r="B51" s="48"/>
      <c r="C51" s="48"/>
      <c r="D51" s="1320"/>
      <c r="E51" s="1397"/>
      <c r="F51" s="1397"/>
      <c r="G51" s="1321"/>
      <c r="H51" s="36"/>
      <c r="M51" s="74"/>
    </row>
    <row r="52" spans="1:13" ht="31.5" customHeight="1" thickBot="1">
      <c r="A52" s="441">
        <v>7</v>
      </c>
      <c r="B52" s="48"/>
      <c r="C52" s="48"/>
      <c r="D52" s="1320"/>
      <c r="E52" s="1397"/>
      <c r="F52" s="1397"/>
      <c r="G52" s="1321"/>
      <c r="H52" s="36"/>
      <c r="M52" s="74"/>
    </row>
    <row r="53" spans="1:13" ht="31.5" customHeight="1" thickBot="1">
      <c r="A53" s="441">
        <v>8</v>
      </c>
      <c r="B53" s="48"/>
      <c r="C53" s="48"/>
      <c r="D53" s="1320"/>
      <c r="E53" s="1397"/>
      <c r="F53" s="1397"/>
      <c r="G53" s="1321"/>
      <c r="H53" s="36"/>
      <c r="M53" s="74"/>
    </row>
    <row r="54" spans="1:13" ht="31.5" customHeight="1" thickBot="1">
      <c r="A54" s="441">
        <v>9</v>
      </c>
      <c r="B54" s="48"/>
      <c r="C54" s="48"/>
      <c r="D54" s="1320"/>
      <c r="E54" s="1397"/>
      <c r="F54" s="1397"/>
      <c r="G54" s="1321"/>
      <c r="H54" s="36"/>
      <c r="M54" s="74"/>
    </row>
    <row r="55" spans="1:13" ht="31.5" customHeight="1" thickBot="1">
      <c r="A55" s="441">
        <v>10</v>
      </c>
      <c r="B55" s="48"/>
      <c r="C55" s="48"/>
      <c r="D55" s="1320"/>
      <c r="E55" s="1397"/>
      <c r="F55" s="1397"/>
      <c r="G55" s="1321"/>
      <c r="H55" s="36"/>
      <c r="M55" s="74"/>
    </row>
    <row r="56" spans="1:13" ht="31.5" customHeight="1" thickBot="1">
      <c r="A56" s="441">
        <v>11</v>
      </c>
      <c r="B56" s="48"/>
      <c r="C56" s="48"/>
      <c r="D56" s="1320"/>
      <c r="E56" s="1397"/>
      <c r="F56" s="1397"/>
      <c r="G56" s="1321"/>
      <c r="H56" s="36"/>
      <c r="M56" s="15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1" sqref="W41"/>
    </sheetView>
  </sheetViews>
  <sheetFormatPr defaultColWidth="9" defaultRowHeight="12"/>
  <cols>
    <col min="1" max="1" width="3.6640625" style="477" customWidth="1"/>
    <col min="2" max="2" width="28.6640625" style="477" customWidth="1"/>
    <col min="3" max="3" width="10.6640625" style="477" customWidth="1"/>
    <col min="4" max="4" width="12.6640625" style="477" customWidth="1"/>
    <col min="5" max="13" width="2.6640625" style="477" customWidth="1"/>
    <col min="14" max="14" width="1.6640625" style="477" customWidth="1"/>
    <col min="15" max="22" width="2.6640625" style="477" customWidth="1"/>
    <col min="23" max="23" width="9.33203125" style="477" customWidth="1"/>
    <col min="24" max="24" width="15" style="477" customWidth="1"/>
    <col min="25" max="25" width="2.21875" style="477" hidden="1" customWidth="1"/>
    <col min="26" max="26" width="2.21875" style="477" customWidth="1"/>
    <col min="27" max="27" width="82.77734375" style="106" bestFit="1" customWidth="1"/>
    <col min="28" max="16384" width="9" style="477"/>
  </cols>
  <sheetData>
    <row r="1" spans="1:30" ht="19.5" customHeight="1" thickBot="1">
      <c r="A1" s="1536" t="s">
        <v>1111</v>
      </c>
      <c r="B1" s="1536"/>
      <c r="C1" s="1536"/>
      <c r="D1" s="1536"/>
      <c r="E1" s="1536"/>
      <c r="F1" s="1536"/>
      <c r="G1" s="1536"/>
      <c r="H1" s="1536"/>
      <c r="I1" s="1536"/>
      <c r="J1" s="1536"/>
      <c r="K1" s="1536"/>
      <c r="L1" s="1536"/>
      <c r="M1" s="1536"/>
      <c r="N1" s="1536"/>
      <c r="O1" s="1536"/>
      <c r="P1" s="1536"/>
      <c r="Q1" s="1536"/>
      <c r="R1" s="1536"/>
      <c r="S1" s="1536"/>
      <c r="T1" s="1536"/>
      <c r="U1" s="1536"/>
      <c r="V1" s="1536"/>
      <c r="W1" s="1536"/>
      <c r="Y1" s="53"/>
      <c r="Z1" s="53"/>
    </row>
    <row r="2" spans="1:30" ht="24.9" customHeight="1" thickBot="1">
      <c r="A2" s="1435" t="s">
        <v>865</v>
      </c>
      <c r="B2" s="1435"/>
      <c r="C2" s="1435"/>
      <c r="D2" s="1435"/>
      <c r="E2" s="1435"/>
      <c r="F2" s="1435"/>
      <c r="G2" s="1435"/>
      <c r="H2" s="1435"/>
      <c r="I2" s="1435"/>
      <c r="J2" s="1435"/>
      <c r="K2" s="1435"/>
      <c r="L2" s="1435"/>
      <c r="M2" s="1435"/>
      <c r="N2" s="1435"/>
      <c r="O2" s="1435"/>
      <c r="P2" s="1435"/>
      <c r="Q2" s="1435"/>
      <c r="R2" s="1435"/>
      <c r="S2" s="1435"/>
      <c r="T2" s="1435"/>
      <c r="U2" s="1435"/>
      <c r="V2" s="1435"/>
      <c r="W2" s="757" t="str">
        <f>IF(COUNTIF(Y15:Y43,"×")&gt;=1,"未入力あり","入力済")</f>
        <v>入力済</v>
      </c>
      <c r="X2" s="1669"/>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69"/>
      <c r="Y3" s="8"/>
      <c r="Z3" s="8"/>
    </row>
    <row r="4" spans="1:30" ht="20.25" customHeight="1">
      <c r="A4" s="473"/>
      <c r="B4" s="473"/>
      <c r="C4" s="473"/>
      <c r="D4" s="473"/>
      <c r="E4" s="759" t="s">
        <v>957</v>
      </c>
      <c r="F4" s="1707" t="str">
        <f>表紙!E2</f>
        <v>公益財団法人　日本生命済生会　日本生命病院</v>
      </c>
      <c r="G4" s="1708"/>
      <c r="H4" s="1708"/>
      <c r="I4" s="1708"/>
      <c r="J4" s="1708"/>
      <c r="K4" s="1708"/>
      <c r="L4" s="1708"/>
      <c r="M4" s="1708"/>
      <c r="N4" s="1708"/>
      <c r="O4" s="1708"/>
      <c r="P4" s="1708"/>
      <c r="Q4" s="1708"/>
      <c r="R4" s="1708"/>
      <c r="S4" s="1708"/>
      <c r="T4" s="1708"/>
      <c r="U4" s="1708"/>
      <c r="V4" s="1708"/>
      <c r="W4" s="1709"/>
      <c r="X4" s="1669"/>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69"/>
      <c r="Y5" s="479"/>
      <c r="Z5" s="479"/>
      <c r="AA5" s="177" t="s">
        <v>234</v>
      </c>
    </row>
    <row r="6" spans="1:30" s="727" customFormat="1" ht="42" customHeight="1">
      <c r="A6" s="760"/>
      <c r="B6" s="1705" t="s">
        <v>1112</v>
      </c>
      <c r="C6" s="1706"/>
      <c r="D6" s="1706"/>
      <c r="E6" s="1706"/>
      <c r="F6" s="1706"/>
      <c r="G6" s="1706"/>
      <c r="H6" s="1706"/>
      <c r="I6" s="1706"/>
      <c r="J6" s="1706"/>
      <c r="K6" s="1706"/>
      <c r="L6" s="1706"/>
      <c r="M6" s="1706"/>
      <c r="N6" s="1706"/>
      <c r="O6" s="1706"/>
      <c r="P6" s="1706"/>
      <c r="Q6" s="1706"/>
      <c r="R6" s="1706"/>
      <c r="S6" s="1706"/>
      <c r="T6" s="1706"/>
      <c r="U6" s="1706"/>
      <c r="V6" s="1706"/>
      <c r="W6" s="1706"/>
      <c r="AA6" s="74"/>
      <c r="AC6" s="760"/>
      <c r="AD6" s="761"/>
    </row>
    <row r="7" spans="1:30" s="727" customFormat="1" ht="20.100000000000001" customHeight="1">
      <c r="A7" s="760"/>
      <c r="B7" s="762" t="s">
        <v>1113</v>
      </c>
      <c r="C7" s="763" t="s">
        <v>1114</v>
      </c>
      <c r="D7" s="763" t="s">
        <v>1115</v>
      </c>
      <c r="E7" s="1703" t="s">
        <v>1116</v>
      </c>
      <c r="F7" s="1703"/>
      <c r="G7" s="1703"/>
      <c r="H7" s="1703"/>
      <c r="I7" s="1703"/>
      <c r="J7" s="1703"/>
      <c r="K7" s="1703"/>
      <c r="L7" s="1703"/>
      <c r="M7" s="1703"/>
      <c r="N7" s="1703" t="s">
        <v>1117</v>
      </c>
      <c r="O7" s="1703"/>
      <c r="P7" s="1703"/>
      <c r="Q7" s="1703"/>
      <c r="R7" s="1703"/>
      <c r="S7" s="1703"/>
      <c r="T7" s="1703"/>
      <c r="U7" s="1703"/>
      <c r="V7" s="1703"/>
      <c r="W7" s="764"/>
      <c r="X7" s="764"/>
      <c r="Y7" s="764"/>
      <c r="Z7" s="764"/>
      <c r="AA7" s="74"/>
      <c r="AB7" s="764"/>
      <c r="AC7" s="764"/>
      <c r="AD7" s="761"/>
    </row>
    <row r="8" spans="1:30" s="727" customFormat="1" ht="99.9" customHeight="1">
      <c r="A8" s="760"/>
      <c r="B8" s="765" t="s">
        <v>1118</v>
      </c>
      <c r="C8" s="766" t="s">
        <v>1119</v>
      </c>
      <c r="D8" s="766" t="s">
        <v>1120</v>
      </c>
      <c r="E8" s="1710" t="s">
        <v>1121</v>
      </c>
      <c r="F8" s="1711"/>
      <c r="G8" s="1711"/>
      <c r="H8" s="1711"/>
      <c r="I8" s="1711"/>
      <c r="J8" s="1711"/>
      <c r="K8" s="1711"/>
      <c r="L8" s="1711"/>
      <c r="M8" s="1712"/>
      <c r="N8" s="1690" t="s">
        <v>1122</v>
      </c>
      <c r="O8" s="1690"/>
      <c r="P8" s="1690"/>
      <c r="Q8" s="1690"/>
      <c r="R8" s="1690"/>
      <c r="S8" s="1690"/>
      <c r="T8" s="1690"/>
      <c r="U8" s="1690"/>
      <c r="V8" s="1690"/>
      <c r="W8" s="764"/>
      <c r="X8" s="764"/>
      <c r="Y8" s="764"/>
      <c r="Z8" s="764"/>
      <c r="AA8" s="74"/>
      <c r="AB8" s="764"/>
      <c r="AC8" s="764"/>
      <c r="AD8" s="761"/>
    </row>
    <row r="9" spans="1:30" s="727" customFormat="1" ht="50.1" customHeight="1">
      <c r="A9" s="760"/>
      <c r="B9" s="762" t="s">
        <v>1123</v>
      </c>
      <c r="C9" s="767" t="s">
        <v>1124</v>
      </c>
      <c r="D9" s="762" t="s">
        <v>1125</v>
      </c>
      <c r="E9" s="1703" t="s">
        <v>1126</v>
      </c>
      <c r="F9" s="1703"/>
      <c r="G9" s="1703"/>
      <c r="H9" s="1703"/>
      <c r="I9" s="1703"/>
      <c r="J9" s="1703"/>
      <c r="K9" s="1703"/>
      <c r="L9" s="1703"/>
      <c r="M9" s="1703"/>
      <c r="N9" s="1703" t="s">
        <v>1127</v>
      </c>
      <c r="O9" s="1703"/>
      <c r="P9" s="1703"/>
      <c r="Q9" s="1703"/>
      <c r="R9" s="1703"/>
      <c r="S9" s="1703"/>
      <c r="T9" s="1703"/>
      <c r="U9" s="1703"/>
      <c r="V9" s="1703"/>
      <c r="W9" s="764"/>
      <c r="X9" s="764"/>
      <c r="Y9" s="764"/>
      <c r="Z9" s="764"/>
      <c r="AA9" s="74"/>
      <c r="AB9" s="764"/>
      <c r="AC9" s="764"/>
      <c r="AD9" s="761"/>
    </row>
    <row r="10" spans="1:30" s="727" customFormat="1" ht="50.1" customHeight="1">
      <c r="A10" s="760"/>
      <c r="B10" s="1690" t="s">
        <v>1128</v>
      </c>
      <c r="C10" s="1687" t="s">
        <v>1129</v>
      </c>
      <c r="D10" s="1687" t="s">
        <v>1130</v>
      </c>
      <c r="E10" s="1690" t="s">
        <v>1131</v>
      </c>
      <c r="F10" s="1690"/>
      <c r="G10" s="1690"/>
      <c r="H10" s="1690"/>
      <c r="I10" s="1690"/>
      <c r="J10" s="1690"/>
      <c r="K10" s="1690"/>
      <c r="L10" s="1690"/>
      <c r="M10" s="1692"/>
      <c r="N10" s="1690" t="s">
        <v>1132</v>
      </c>
      <c r="O10" s="1690"/>
      <c r="P10" s="1690"/>
      <c r="Q10" s="1690"/>
      <c r="R10" s="1690"/>
      <c r="S10" s="1690"/>
      <c r="T10" s="1690"/>
      <c r="U10" s="1690"/>
      <c r="V10" s="1690"/>
      <c r="W10" s="764"/>
      <c r="X10" s="764"/>
      <c r="Y10" s="764"/>
      <c r="Z10" s="764"/>
      <c r="AA10" s="74"/>
      <c r="AB10" s="764"/>
      <c r="AC10" s="764"/>
      <c r="AD10" s="761"/>
    </row>
    <row r="11" spans="1:30" s="727" customFormat="1" ht="20.100000000000001" customHeight="1">
      <c r="A11" s="760"/>
      <c r="B11" s="1690"/>
      <c r="C11" s="1688"/>
      <c r="D11" s="1688"/>
      <c r="E11" s="1703" t="s">
        <v>1133</v>
      </c>
      <c r="F11" s="1703"/>
      <c r="G11" s="1703"/>
      <c r="H11" s="1703"/>
      <c r="I11" s="1703"/>
      <c r="J11" s="1703"/>
      <c r="K11" s="1703"/>
      <c r="L11" s="1703"/>
      <c r="M11" s="1703"/>
      <c r="N11" s="1690"/>
      <c r="O11" s="1690"/>
      <c r="P11" s="1690"/>
      <c r="Q11" s="1690"/>
      <c r="R11" s="1690"/>
      <c r="S11" s="1690"/>
      <c r="T11" s="1690"/>
      <c r="U11" s="1690"/>
      <c r="V11" s="1690"/>
      <c r="W11" s="764"/>
      <c r="X11" s="764"/>
      <c r="Y11" s="764"/>
      <c r="Z11" s="764"/>
      <c r="AA11" s="74"/>
      <c r="AB11" s="764"/>
      <c r="AC11" s="764"/>
      <c r="AD11" s="761"/>
    </row>
    <row r="12" spans="1:30" s="727" customFormat="1" ht="50.1" customHeight="1">
      <c r="A12" s="760"/>
      <c r="B12" s="1690"/>
      <c r="C12" s="1689"/>
      <c r="D12" s="1689"/>
      <c r="E12" s="1692" t="s">
        <v>1134</v>
      </c>
      <c r="F12" s="1692"/>
      <c r="G12" s="1692"/>
      <c r="H12" s="1692"/>
      <c r="I12" s="1692"/>
      <c r="J12" s="1692"/>
      <c r="K12" s="1692"/>
      <c r="L12" s="1692"/>
      <c r="M12" s="1692"/>
      <c r="N12" s="1690"/>
      <c r="O12" s="1690"/>
      <c r="P12" s="1690"/>
      <c r="Q12" s="1690"/>
      <c r="R12" s="1690"/>
      <c r="S12" s="1690"/>
      <c r="T12" s="1690"/>
      <c r="U12" s="1690"/>
      <c r="V12" s="1690"/>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691" t="s">
        <v>1136</v>
      </c>
      <c r="C14" s="1691"/>
      <c r="D14" s="1691"/>
      <c r="E14" s="1691"/>
      <c r="F14" s="1691"/>
      <c r="G14" s="1691"/>
      <c r="H14" s="1691"/>
      <c r="I14" s="1691"/>
      <c r="J14" s="1691"/>
      <c r="K14" s="1691"/>
      <c r="L14" s="1691"/>
      <c r="M14" s="1691"/>
      <c r="N14" s="1691"/>
      <c r="O14" s="1691"/>
      <c r="P14" s="1691"/>
      <c r="Q14" s="1691"/>
      <c r="R14" s="1691"/>
      <c r="S14" s="1691"/>
      <c r="T14" s="1691"/>
      <c r="U14" s="1691"/>
      <c r="V14" s="1691"/>
      <c r="W14" s="1691"/>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1805</v>
      </c>
      <c r="Y15" s="477" t="str">
        <f>IF(W15="","×","○")</f>
        <v>○</v>
      </c>
      <c r="AA15" s="74"/>
    </row>
    <row r="16" spans="1:30" ht="25.5" customHeight="1" thickBot="1">
      <c r="A16" s="773">
        <v>2</v>
      </c>
      <c r="B16" s="1439" t="s">
        <v>1138</v>
      </c>
      <c r="C16" s="1440"/>
      <c r="D16" s="1467" t="s">
        <v>1885</v>
      </c>
      <c r="E16" s="1468"/>
      <c r="F16" s="1468"/>
      <c r="G16" s="1468"/>
      <c r="H16" s="1468"/>
      <c r="I16" s="1468"/>
      <c r="J16" s="1468"/>
      <c r="K16" s="1468"/>
      <c r="L16" s="1468"/>
      <c r="M16" s="1468"/>
      <c r="N16" s="1468"/>
      <c r="O16" s="1468"/>
      <c r="P16" s="1468"/>
      <c r="Q16" s="1468"/>
      <c r="R16" s="1468"/>
      <c r="S16" s="1468"/>
      <c r="T16" s="1468"/>
      <c r="U16" s="1468"/>
      <c r="V16" s="1468"/>
      <c r="W16" s="1472"/>
      <c r="Y16" s="479" t="str">
        <f>IF(AND($W$15="はい",D16=""),"×","○")</f>
        <v>○</v>
      </c>
      <c r="Z16" s="479"/>
      <c r="AA16" s="74"/>
    </row>
    <row r="17" spans="1:27" ht="25.5" customHeight="1" thickBot="1">
      <c r="A17" s="773">
        <v>3</v>
      </c>
      <c r="B17" s="1429" t="s">
        <v>1139</v>
      </c>
      <c r="C17" s="1722"/>
      <c r="D17" s="1723"/>
      <c r="E17" s="1723"/>
      <c r="F17" s="1723"/>
      <c r="G17" s="1723"/>
      <c r="H17" s="1723"/>
      <c r="I17" s="1723"/>
      <c r="J17" s="1723"/>
      <c r="K17" s="1723"/>
      <c r="L17" s="1723"/>
      <c r="M17" s="1723"/>
      <c r="N17" s="1527" t="s">
        <v>1886</v>
      </c>
      <c r="O17" s="1528"/>
      <c r="P17" s="1528"/>
      <c r="Q17" s="1528"/>
      <c r="R17" s="1528"/>
      <c r="S17" s="1528"/>
      <c r="T17" s="1528"/>
      <c r="U17" s="1528"/>
      <c r="V17" s="1693"/>
      <c r="W17" s="1694"/>
      <c r="Y17" s="479" t="str">
        <f>IF(AND($W$15="はい",N17=""),"×","○")</f>
        <v>○</v>
      </c>
      <c r="Z17" s="479"/>
      <c r="AA17" s="74"/>
    </row>
    <row r="18" spans="1:27" ht="50.1" customHeight="1" thickBot="1">
      <c r="A18" s="773">
        <v>4</v>
      </c>
      <c r="B18" s="1439" t="s">
        <v>1140</v>
      </c>
      <c r="C18" s="1440"/>
      <c r="D18" s="1320" t="s">
        <v>1887</v>
      </c>
      <c r="E18" s="1397"/>
      <c r="F18" s="1397"/>
      <c r="G18" s="1397"/>
      <c r="H18" s="1397"/>
      <c r="I18" s="1397"/>
      <c r="J18" s="1397"/>
      <c r="K18" s="1397"/>
      <c r="L18" s="1397"/>
      <c r="M18" s="1397"/>
      <c r="N18" s="1397"/>
      <c r="O18" s="1397"/>
      <c r="P18" s="1397"/>
      <c r="Q18" s="1397"/>
      <c r="R18" s="1397"/>
      <c r="S18" s="1397"/>
      <c r="T18" s="1397"/>
      <c r="U18" s="1397"/>
      <c r="V18" s="1397"/>
      <c r="W18" s="1321"/>
      <c r="Y18" s="479" t="str">
        <f>IF(AND($W$15="はい",D18=""),"×","○")</f>
        <v>○</v>
      </c>
      <c r="Z18" s="479"/>
      <c r="AA18" s="74"/>
    </row>
    <row r="19" spans="1:27" ht="25.5" customHeight="1" thickBot="1">
      <c r="A19" s="774">
        <v>5</v>
      </c>
      <c r="B19" s="1704" t="s">
        <v>1141</v>
      </c>
      <c r="C19" s="1699"/>
      <c r="D19" s="1700"/>
      <c r="E19" s="1700"/>
      <c r="F19" s="1700"/>
      <c r="G19" s="1700"/>
      <c r="H19" s="1700"/>
      <c r="I19" s="1700"/>
      <c r="J19" s="1700"/>
      <c r="K19" s="1700"/>
      <c r="L19" s="1700"/>
      <c r="M19" s="1700"/>
      <c r="N19" s="1700"/>
      <c r="O19" s="1700"/>
      <c r="P19" s="1700"/>
      <c r="Q19" s="1700"/>
      <c r="R19" s="1700"/>
      <c r="S19" s="1700"/>
      <c r="T19" s="1700"/>
      <c r="U19" s="1700"/>
      <c r="V19" s="1700"/>
      <c r="W19" s="36" t="s">
        <v>1804</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24" t="s">
        <v>1144</v>
      </c>
      <c r="C22" s="1725"/>
      <c r="D22" s="36" t="s">
        <v>1805</v>
      </c>
      <c r="E22" s="777" t="s">
        <v>1145</v>
      </c>
      <c r="F22" s="777"/>
      <c r="G22" s="777"/>
      <c r="H22" s="777"/>
      <c r="I22" s="777"/>
      <c r="J22" s="778"/>
      <c r="K22" s="1727" t="s">
        <v>1146</v>
      </c>
      <c r="L22" s="1727"/>
      <c r="M22" s="1727"/>
      <c r="N22" s="1727"/>
      <c r="O22" s="1727"/>
      <c r="P22" s="1727"/>
      <c r="Q22" s="1727"/>
      <c r="R22" s="1727"/>
      <c r="S22" s="1727"/>
      <c r="T22" s="1727"/>
      <c r="U22" s="1727"/>
      <c r="V22" s="1727"/>
      <c r="W22" s="1728"/>
      <c r="Y22" s="477" t="str">
        <f>IF(D22="","×","○")</f>
        <v>○</v>
      </c>
      <c r="AA22" s="74"/>
    </row>
    <row r="23" spans="1:27" ht="28.5" customHeight="1" thickBot="1">
      <c r="A23" s="773">
        <v>2</v>
      </c>
      <c r="B23" s="1433" t="s">
        <v>1147</v>
      </c>
      <c r="C23" s="1726"/>
      <c r="D23" s="37" t="s">
        <v>1805</v>
      </c>
      <c r="E23" s="502" t="s">
        <v>1145</v>
      </c>
      <c r="F23" s="502"/>
      <c r="G23" s="502"/>
      <c r="H23" s="502"/>
      <c r="I23" s="502"/>
      <c r="J23" s="779"/>
      <c r="K23" s="1729"/>
      <c r="L23" s="1729"/>
      <c r="M23" s="1729"/>
      <c r="N23" s="1729"/>
      <c r="O23" s="1729"/>
      <c r="P23" s="1729"/>
      <c r="Q23" s="1729"/>
      <c r="R23" s="1729"/>
      <c r="S23" s="1729"/>
      <c r="T23" s="1729"/>
      <c r="U23" s="1729"/>
      <c r="V23" s="1729"/>
      <c r="W23" s="1730"/>
      <c r="Y23" s="479" t="str">
        <f>IF(AND($D$22="はい",D23=""),"×","○")</f>
        <v>○</v>
      </c>
      <c r="Z23" s="479"/>
      <c r="AA23" s="74"/>
    </row>
    <row r="24" spans="1:27" ht="25.5" customHeight="1" thickBot="1">
      <c r="A24" s="773">
        <v>3</v>
      </c>
      <c r="B24" s="1439" t="s">
        <v>1138</v>
      </c>
      <c r="C24" s="1440"/>
      <c r="D24" s="1467" t="s">
        <v>1888</v>
      </c>
      <c r="E24" s="1468"/>
      <c r="F24" s="1468"/>
      <c r="G24" s="1468"/>
      <c r="H24" s="1468"/>
      <c r="I24" s="1468"/>
      <c r="J24" s="1468"/>
      <c r="K24" s="1468"/>
      <c r="L24" s="1468"/>
      <c r="M24" s="1468"/>
      <c r="N24" s="1468"/>
      <c r="O24" s="1468"/>
      <c r="P24" s="1468"/>
      <c r="Q24" s="1468"/>
      <c r="R24" s="1468"/>
      <c r="S24" s="1468"/>
      <c r="T24" s="1468"/>
      <c r="U24" s="1468"/>
      <c r="V24" s="1468"/>
      <c r="W24" s="1472"/>
      <c r="Y24" s="479" t="str">
        <f>IF(AND($D$22="はい",D24=""),"×","○")</f>
        <v>○</v>
      </c>
      <c r="Z24" s="479"/>
      <c r="AA24" s="74"/>
    </row>
    <row r="25" spans="1:27" ht="25.5" customHeight="1" thickBot="1">
      <c r="A25" s="773">
        <v>4</v>
      </c>
      <c r="B25" s="1439" t="s">
        <v>1148</v>
      </c>
      <c r="C25" s="1440"/>
      <c r="D25" s="1320" t="s">
        <v>1887</v>
      </c>
      <c r="E25" s="1397"/>
      <c r="F25" s="1397"/>
      <c r="G25" s="1397"/>
      <c r="H25" s="1397"/>
      <c r="I25" s="1397"/>
      <c r="J25" s="1397"/>
      <c r="K25" s="1397"/>
      <c r="L25" s="1397"/>
      <c r="M25" s="1397"/>
      <c r="N25" s="1397"/>
      <c r="O25" s="1397"/>
      <c r="P25" s="1397"/>
      <c r="Q25" s="1397"/>
      <c r="R25" s="1397"/>
      <c r="S25" s="1397"/>
      <c r="T25" s="1397"/>
      <c r="U25" s="1397"/>
      <c r="V25" s="1397"/>
      <c r="W25" s="1321"/>
      <c r="Y25" s="479" t="str">
        <f>IF(AND($D$22="はい",D25=""),"×","○")</f>
        <v>○</v>
      </c>
      <c r="Z25" s="479"/>
      <c r="AA25" s="74"/>
    </row>
    <row r="26" spans="1:27" ht="25.5" customHeight="1" thickBot="1">
      <c r="A26" s="773">
        <v>5</v>
      </c>
      <c r="B26" s="1433" t="s">
        <v>1149</v>
      </c>
      <c r="C26" s="1434"/>
      <c r="D26" s="1320" t="s">
        <v>1889</v>
      </c>
      <c r="E26" s="1397"/>
      <c r="F26" s="1397"/>
      <c r="G26" s="1397"/>
      <c r="H26" s="1397"/>
      <c r="I26" s="1397"/>
      <c r="J26" s="1397"/>
      <c r="K26" s="1397"/>
      <c r="L26" s="1397"/>
      <c r="M26" s="1397"/>
      <c r="N26" s="1397"/>
      <c r="O26" s="1397"/>
      <c r="P26" s="1397"/>
      <c r="Q26" s="1397"/>
      <c r="R26" s="1397"/>
      <c r="S26" s="1397"/>
      <c r="T26" s="1397"/>
      <c r="U26" s="1397"/>
      <c r="V26" s="1397"/>
      <c r="W26" s="1321"/>
      <c r="Y26" s="479" t="str">
        <f>IF(AND($D$22="はい",D26=""),"×","○")</f>
        <v>○</v>
      </c>
      <c r="Z26" s="479"/>
      <c r="AA26" s="74"/>
    </row>
    <row r="27" spans="1:27" ht="42.6" customHeight="1" thickBot="1">
      <c r="A27" s="773">
        <v>6</v>
      </c>
      <c r="B27" s="1701" t="s">
        <v>1150</v>
      </c>
      <c r="C27" s="1702"/>
      <c r="D27" s="38" t="s">
        <v>1890</v>
      </c>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 customHeight="1" thickBot="1">
      <c r="A28" s="774">
        <v>7</v>
      </c>
      <c r="B28" s="1698" t="s">
        <v>1152</v>
      </c>
      <c r="C28" s="1699"/>
      <c r="D28" s="1700"/>
      <c r="E28" s="1700"/>
      <c r="F28" s="1700"/>
      <c r="G28" s="1700"/>
      <c r="H28" s="1700"/>
      <c r="I28" s="1700"/>
      <c r="J28" s="1700"/>
      <c r="K28" s="1700"/>
      <c r="L28" s="1700"/>
      <c r="M28" s="1700"/>
      <c r="N28" s="1700"/>
      <c r="O28" s="1700"/>
      <c r="P28" s="1700"/>
      <c r="Q28" s="1700"/>
      <c r="R28" s="1700"/>
      <c r="S28" s="1700"/>
      <c r="T28" s="1700"/>
      <c r="U28" s="1700"/>
      <c r="V28" s="1700"/>
      <c r="W28" s="36" t="s">
        <v>1804</v>
      </c>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5" t="s">
        <v>1155</v>
      </c>
      <c r="C31" s="1696"/>
      <c r="D31" s="1697"/>
      <c r="E31" s="1697"/>
      <c r="F31" s="1697"/>
      <c r="G31" s="1697"/>
      <c r="H31" s="1697"/>
      <c r="I31" s="1697"/>
      <c r="J31" s="1697"/>
      <c r="K31" s="1697"/>
      <c r="L31" s="1697"/>
      <c r="M31" s="1697"/>
      <c r="N31" s="1697"/>
      <c r="O31" s="1697"/>
      <c r="P31" s="1697"/>
      <c r="Q31" s="1697"/>
      <c r="R31" s="1697"/>
      <c r="S31" s="1697"/>
      <c r="T31" s="1697"/>
      <c r="U31" s="1697"/>
      <c r="V31" s="1697"/>
      <c r="W31" s="36" t="s">
        <v>1804</v>
      </c>
      <c r="Y31" s="477" t="str">
        <f>IF(W31="","×","○")</f>
        <v>○</v>
      </c>
      <c r="AA31" s="74"/>
    </row>
    <row r="32" spans="1:27" ht="24" customHeight="1" thickBot="1">
      <c r="A32" s="773">
        <v>2</v>
      </c>
      <c r="B32" s="1439" t="s">
        <v>1138</v>
      </c>
      <c r="C32" s="1440"/>
      <c r="D32" s="1467"/>
      <c r="E32" s="1468"/>
      <c r="F32" s="1468"/>
      <c r="G32" s="1468"/>
      <c r="H32" s="1468"/>
      <c r="I32" s="1468"/>
      <c r="J32" s="1468"/>
      <c r="K32" s="1468"/>
      <c r="L32" s="1468"/>
      <c r="M32" s="1468"/>
      <c r="N32" s="1468"/>
      <c r="O32" s="1468"/>
      <c r="P32" s="1468"/>
      <c r="Q32" s="1468"/>
      <c r="R32" s="1468"/>
      <c r="S32" s="1468"/>
      <c r="T32" s="1468"/>
      <c r="U32" s="1468"/>
      <c r="V32" s="1468"/>
      <c r="W32" s="1472"/>
      <c r="Y32" s="479" t="str">
        <f>IF(AND($W$31="はい",D32=""),"×","○")</f>
        <v>○</v>
      </c>
      <c r="Z32" s="479"/>
      <c r="AA32" s="74"/>
    </row>
    <row r="33" spans="1:27" ht="25.5" customHeight="1" thickBot="1">
      <c r="A33" s="774">
        <v>3</v>
      </c>
      <c r="B33" s="1698" t="s">
        <v>1152</v>
      </c>
      <c r="C33" s="1699"/>
      <c r="D33" s="1700"/>
      <c r="E33" s="1700"/>
      <c r="F33" s="1700"/>
      <c r="G33" s="1700"/>
      <c r="H33" s="1700"/>
      <c r="I33" s="1700"/>
      <c r="J33" s="1700"/>
      <c r="K33" s="1700"/>
      <c r="L33" s="1700"/>
      <c r="M33" s="1700"/>
      <c r="N33" s="1700"/>
      <c r="O33" s="1700"/>
      <c r="P33" s="1700"/>
      <c r="Q33" s="1700"/>
      <c r="R33" s="1700"/>
      <c r="S33" s="1700"/>
      <c r="T33" s="1700"/>
      <c r="U33" s="1700"/>
      <c r="V33" s="1700"/>
      <c r="W33" s="36"/>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5" t="s">
        <v>1158</v>
      </c>
      <c r="C36" s="1696"/>
      <c r="D36" s="1697"/>
      <c r="E36" s="1697"/>
      <c r="F36" s="1697"/>
      <c r="G36" s="1697"/>
      <c r="H36" s="1697"/>
      <c r="I36" s="1697"/>
      <c r="J36" s="1697"/>
      <c r="K36" s="1697"/>
      <c r="L36" s="1697"/>
      <c r="M36" s="1697"/>
      <c r="N36" s="1697"/>
      <c r="O36" s="1697"/>
      <c r="P36" s="1697"/>
      <c r="Q36" s="1697"/>
      <c r="R36" s="1697"/>
      <c r="S36" s="1697"/>
      <c r="T36" s="1697"/>
      <c r="U36" s="1697"/>
      <c r="V36" s="1697"/>
      <c r="W36" s="36" t="s">
        <v>1804</v>
      </c>
      <c r="Y36" s="477" t="str">
        <f>IF(W36="","×","○")</f>
        <v>○</v>
      </c>
      <c r="AA36" s="74"/>
    </row>
    <row r="37" spans="1:27" ht="25.5" customHeight="1" thickBot="1">
      <c r="A37" s="773">
        <v>2</v>
      </c>
      <c r="B37" s="1439" t="s">
        <v>1138</v>
      </c>
      <c r="C37" s="1440"/>
      <c r="D37" s="1467"/>
      <c r="E37" s="1468"/>
      <c r="F37" s="1468"/>
      <c r="G37" s="1468"/>
      <c r="H37" s="1468"/>
      <c r="I37" s="1468"/>
      <c r="J37" s="1468"/>
      <c r="K37" s="1468"/>
      <c r="L37" s="1468"/>
      <c r="M37" s="1468"/>
      <c r="N37" s="1468"/>
      <c r="O37" s="1468"/>
      <c r="P37" s="1468"/>
      <c r="Q37" s="1468"/>
      <c r="R37" s="1468"/>
      <c r="S37" s="1468"/>
      <c r="T37" s="1468"/>
      <c r="U37" s="1468"/>
      <c r="V37" s="1468"/>
      <c r="W37" s="1472"/>
      <c r="Y37" s="479" t="str">
        <f>IF(AND($W$36="はい",D37=""),"×","○")</f>
        <v>○</v>
      </c>
      <c r="Z37" s="479"/>
      <c r="AA37" s="74"/>
    </row>
    <row r="38" spans="1:27" ht="20.25" customHeight="1" thickBot="1">
      <c r="A38" s="774">
        <v>3</v>
      </c>
      <c r="B38" s="1698" t="s">
        <v>1152</v>
      </c>
      <c r="C38" s="1699"/>
      <c r="D38" s="1700"/>
      <c r="E38" s="1700"/>
      <c r="F38" s="1700"/>
      <c r="G38" s="1700"/>
      <c r="H38" s="1700"/>
      <c r="I38" s="1700"/>
      <c r="J38" s="1700"/>
      <c r="K38" s="1700"/>
      <c r="L38" s="1700"/>
      <c r="M38" s="1700"/>
      <c r="N38" s="1700"/>
      <c r="O38" s="1700"/>
      <c r="P38" s="1700"/>
      <c r="Q38" s="1700"/>
      <c r="R38" s="1700"/>
      <c r="S38" s="1700"/>
      <c r="T38" s="1700"/>
      <c r="U38" s="1700"/>
      <c r="V38" s="1700"/>
      <c r="W38" s="36"/>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5" t="s">
        <v>1161</v>
      </c>
      <c r="C41" s="1696"/>
      <c r="D41" s="1697"/>
      <c r="E41" s="1697"/>
      <c r="F41" s="1697"/>
      <c r="G41" s="1697"/>
      <c r="H41" s="1697"/>
      <c r="I41" s="1697"/>
      <c r="J41" s="1697"/>
      <c r="K41" s="1697"/>
      <c r="L41" s="1697"/>
      <c r="M41" s="1697"/>
      <c r="N41" s="1697"/>
      <c r="O41" s="1697"/>
      <c r="P41" s="1697"/>
      <c r="Q41" s="1697"/>
      <c r="R41" s="1697"/>
      <c r="S41" s="1697"/>
      <c r="T41" s="1697"/>
      <c r="U41" s="1697"/>
      <c r="V41" s="1697"/>
      <c r="W41" s="36" t="s">
        <v>1804</v>
      </c>
      <c r="Y41" s="477" t="str">
        <f>IF(W41="","×","○")</f>
        <v>○</v>
      </c>
      <c r="AA41" s="74"/>
    </row>
    <row r="42" spans="1:27" ht="25.5" customHeight="1" thickBot="1">
      <c r="A42" s="773">
        <v>2</v>
      </c>
      <c r="B42" s="1433" t="s">
        <v>1138</v>
      </c>
      <c r="C42" s="1434"/>
      <c r="D42" s="1467"/>
      <c r="E42" s="1468"/>
      <c r="F42" s="1468"/>
      <c r="G42" s="1468"/>
      <c r="H42" s="1468"/>
      <c r="I42" s="1468"/>
      <c r="J42" s="1468"/>
      <c r="K42" s="1468"/>
      <c r="L42" s="1468"/>
      <c r="M42" s="1468"/>
      <c r="N42" s="1468"/>
      <c r="O42" s="1468"/>
      <c r="P42" s="1468"/>
      <c r="Q42" s="1468"/>
      <c r="R42" s="1468"/>
      <c r="S42" s="1468"/>
      <c r="T42" s="1468"/>
      <c r="U42" s="1468"/>
      <c r="V42" s="1468"/>
      <c r="W42" s="1472"/>
      <c r="Y42" s="479" t="str">
        <f>IF(AND($W$41="はい",D42=""),"×","○")</f>
        <v>○</v>
      </c>
      <c r="Z42" s="479"/>
      <c r="AA42" s="74"/>
    </row>
    <row r="43" spans="1:27" ht="18" customHeight="1" thickBot="1">
      <c r="A43" s="774">
        <v>3</v>
      </c>
      <c r="B43" s="1698" t="s">
        <v>1152</v>
      </c>
      <c r="C43" s="1699"/>
      <c r="D43" s="1700"/>
      <c r="E43" s="1700"/>
      <c r="F43" s="1700"/>
      <c r="G43" s="1700"/>
      <c r="H43" s="1700"/>
      <c r="I43" s="1700"/>
      <c r="J43" s="1700"/>
      <c r="K43" s="1700"/>
      <c r="L43" s="1700"/>
      <c r="M43" s="1700"/>
      <c r="N43" s="1700"/>
      <c r="O43" s="1700"/>
      <c r="P43" s="1700"/>
      <c r="Q43" s="1700"/>
      <c r="R43" s="1700"/>
      <c r="S43" s="1700"/>
      <c r="T43" s="1700"/>
      <c r="U43" s="1700"/>
      <c r="V43" s="1700"/>
      <c r="W43" s="36"/>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4">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713"/>
      <c r="B47" s="1714"/>
      <c r="C47" s="1714"/>
      <c r="D47" s="1714"/>
      <c r="E47" s="1714"/>
      <c r="F47" s="1714"/>
      <c r="G47" s="1714"/>
      <c r="H47" s="1714"/>
      <c r="I47" s="1714"/>
      <c r="J47" s="1714"/>
      <c r="K47" s="1714"/>
      <c r="L47" s="1714"/>
      <c r="M47" s="1714"/>
      <c r="N47" s="1714"/>
      <c r="O47" s="1714"/>
      <c r="P47" s="1714"/>
      <c r="Q47" s="1714"/>
      <c r="R47" s="1714"/>
      <c r="S47" s="1714"/>
      <c r="T47" s="1714"/>
      <c r="U47" s="1714"/>
      <c r="V47" s="1714"/>
      <c r="W47" s="1715"/>
      <c r="AA47" s="74"/>
    </row>
    <row r="48" spans="1:27">
      <c r="A48" s="1716"/>
      <c r="B48" s="1717"/>
      <c r="C48" s="1717"/>
      <c r="D48" s="1717"/>
      <c r="E48" s="1717"/>
      <c r="F48" s="1717"/>
      <c r="G48" s="1717"/>
      <c r="H48" s="1717"/>
      <c r="I48" s="1717"/>
      <c r="J48" s="1717"/>
      <c r="K48" s="1717"/>
      <c r="L48" s="1717"/>
      <c r="M48" s="1717"/>
      <c r="N48" s="1717"/>
      <c r="O48" s="1717"/>
      <c r="P48" s="1717"/>
      <c r="Q48" s="1717"/>
      <c r="R48" s="1717"/>
      <c r="S48" s="1717"/>
      <c r="T48" s="1717"/>
      <c r="U48" s="1717"/>
      <c r="V48" s="1717"/>
      <c r="W48" s="1718"/>
      <c r="AA48" s="74"/>
    </row>
    <row r="49" spans="1:27">
      <c r="A49" s="1716"/>
      <c r="B49" s="1717"/>
      <c r="C49" s="1717"/>
      <c r="D49" s="1717"/>
      <c r="E49" s="1717"/>
      <c r="F49" s="1717"/>
      <c r="G49" s="1717"/>
      <c r="H49" s="1717"/>
      <c r="I49" s="1717"/>
      <c r="J49" s="1717"/>
      <c r="K49" s="1717"/>
      <c r="L49" s="1717"/>
      <c r="M49" s="1717"/>
      <c r="N49" s="1717"/>
      <c r="O49" s="1717"/>
      <c r="P49" s="1717"/>
      <c r="Q49" s="1717"/>
      <c r="R49" s="1717"/>
      <c r="S49" s="1717"/>
      <c r="T49" s="1717"/>
      <c r="U49" s="1717"/>
      <c r="V49" s="1717"/>
      <c r="W49" s="1718"/>
      <c r="AA49" s="74"/>
    </row>
    <row r="50" spans="1:27">
      <c r="A50" s="1716"/>
      <c r="B50" s="1717"/>
      <c r="C50" s="1717"/>
      <c r="D50" s="1717"/>
      <c r="E50" s="1717"/>
      <c r="F50" s="1717"/>
      <c r="G50" s="1717"/>
      <c r="H50" s="1717"/>
      <c r="I50" s="1717"/>
      <c r="J50" s="1717"/>
      <c r="K50" s="1717"/>
      <c r="L50" s="1717"/>
      <c r="M50" s="1717"/>
      <c r="N50" s="1717"/>
      <c r="O50" s="1717"/>
      <c r="P50" s="1717"/>
      <c r="Q50" s="1717"/>
      <c r="R50" s="1717"/>
      <c r="S50" s="1717"/>
      <c r="T50" s="1717"/>
      <c r="U50" s="1717"/>
      <c r="V50" s="1717"/>
      <c r="W50" s="1718"/>
      <c r="AA50" s="74"/>
    </row>
    <row r="51" spans="1:27">
      <c r="A51" s="1716"/>
      <c r="B51" s="1717"/>
      <c r="C51" s="1717"/>
      <c r="D51" s="1717"/>
      <c r="E51" s="1717"/>
      <c r="F51" s="1717"/>
      <c r="G51" s="1717"/>
      <c r="H51" s="1717"/>
      <c r="I51" s="1717"/>
      <c r="J51" s="1717"/>
      <c r="K51" s="1717"/>
      <c r="L51" s="1717"/>
      <c r="M51" s="1717"/>
      <c r="N51" s="1717"/>
      <c r="O51" s="1717"/>
      <c r="P51" s="1717"/>
      <c r="Q51" s="1717"/>
      <c r="R51" s="1717"/>
      <c r="S51" s="1717"/>
      <c r="T51" s="1717"/>
      <c r="U51" s="1717"/>
      <c r="V51" s="1717"/>
      <c r="W51" s="1718"/>
      <c r="AA51" s="74"/>
    </row>
    <row r="52" spans="1:27">
      <c r="A52" s="1716"/>
      <c r="B52" s="1717"/>
      <c r="C52" s="1717"/>
      <c r="D52" s="1717"/>
      <c r="E52" s="1717"/>
      <c r="F52" s="1717"/>
      <c r="G52" s="1717"/>
      <c r="H52" s="1717"/>
      <c r="I52" s="1717"/>
      <c r="J52" s="1717"/>
      <c r="K52" s="1717"/>
      <c r="L52" s="1717"/>
      <c r="M52" s="1717"/>
      <c r="N52" s="1717"/>
      <c r="O52" s="1717"/>
      <c r="P52" s="1717"/>
      <c r="Q52" s="1717"/>
      <c r="R52" s="1717"/>
      <c r="S52" s="1717"/>
      <c r="T52" s="1717"/>
      <c r="U52" s="1717"/>
      <c r="V52" s="1717"/>
      <c r="W52" s="1718"/>
      <c r="AA52" s="74"/>
    </row>
    <row r="53" spans="1:27">
      <c r="A53" s="1716"/>
      <c r="B53" s="1717"/>
      <c r="C53" s="1717"/>
      <c r="D53" s="1717"/>
      <c r="E53" s="1717"/>
      <c r="F53" s="1717"/>
      <c r="G53" s="1717"/>
      <c r="H53" s="1717"/>
      <c r="I53" s="1717"/>
      <c r="J53" s="1717"/>
      <c r="K53" s="1717"/>
      <c r="L53" s="1717"/>
      <c r="M53" s="1717"/>
      <c r="N53" s="1717"/>
      <c r="O53" s="1717"/>
      <c r="P53" s="1717"/>
      <c r="Q53" s="1717"/>
      <c r="R53" s="1717"/>
      <c r="S53" s="1717"/>
      <c r="T53" s="1717"/>
      <c r="U53" s="1717"/>
      <c r="V53" s="1717"/>
      <c r="W53" s="1718"/>
      <c r="AA53" s="74"/>
    </row>
    <row r="54" spans="1:27">
      <c r="A54" s="1716"/>
      <c r="B54" s="1717"/>
      <c r="C54" s="1717"/>
      <c r="D54" s="1717"/>
      <c r="E54" s="1717"/>
      <c r="F54" s="1717"/>
      <c r="G54" s="1717"/>
      <c r="H54" s="1717"/>
      <c r="I54" s="1717"/>
      <c r="J54" s="1717"/>
      <c r="K54" s="1717"/>
      <c r="L54" s="1717"/>
      <c r="M54" s="1717"/>
      <c r="N54" s="1717"/>
      <c r="O54" s="1717"/>
      <c r="P54" s="1717"/>
      <c r="Q54" s="1717"/>
      <c r="R54" s="1717"/>
      <c r="S54" s="1717"/>
      <c r="T54" s="1717"/>
      <c r="U54" s="1717"/>
      <c r="V54" s="1717"/>
      <c r="W54" s="1718"/>
      <c r="AA54" s="74"/>
    </row>
    <row r="55" spans="1:27">
      <c r="A55" s="1716"/>
      <c r="B55" s="1717"/>
      <c r="C55" s="1717"/>
      <c r="D55" s="1717"/>
      <c r="E55" s="1717"/>
      <c r="F55" s="1717"/>
      <c r="G55" s="1717"/>
      <c r="H55" s="1717"/>
      <c r="I55" s="1717"/>
      <c r="J55" s="1717"/>
      <c r="K55" s="1717"/>
      <c r="L55" s="1717"/>
      <c r="M55" s="1717"/>
      <c r="N55" s="1717"/>
      <c r="O55" s="1717"/>
      <c r="P55" s="1717"/>
      <c r="Q55" s="1717"/>
      <c r="R55" s="1717"/>
      <c r="S55" s="1717"/>
      <c r="T55" s="1717"/>
      <c r="U55" s="1717"/>
      <c r="V55" s="1717"/>
      <c r="W55" s="1718"/>
      <c r="AA55" s="74"/>
    </row>
    <row r="56" spans="1:27">
      <c r="A56" s="1716"/>
      <c r="B56" s="1717"/>
      <c r="C56" s="1717"/>
      <c r="D56" s="1717"/>
      <c r="E56" s="1717"/>
      <c r="F56" s="1717"/>
      <c r="G56" s="1717"/>
      <c r="H56" s="1717"/>
      <c r="I56" s="1717"/>
      <c r="J56" s="1717"/>
      <c r="K56" s="1717"/>
      <c r="L56" s="1717"/>
      <c r="M56" s="1717"/>
      <c r="N56" s="1717"/>
      <c r="O56" s="1717"/>
      <c r="P56" s="1717"/>
      <c r="Q56" s="1717"/>
      <c r="R56" s="1717"/>
      <c r="S56" s="1717"/>
      <c r="T56" s="1717"/>
      <c r="U56" s="1717"/>
      <c r="V56" s="1717"/>
      <c r="W56" s="1718"/>
      <c r="AA56" s="74"/>
    </row>
    <row r="57" spans="1:27">
      <c r="A57" s="1716"/>
      <c r="B57" s="1717"/>
      <c r="C57" s="1717"/>
      <c r="D57" s="1717"/>
      <c r="E57" s="1717"/>
      <c r="F57" s="1717"/>
      <c r="G57" s="1717"/>
      <c r="H57" s="1717"/>
      <c r="I57" s="1717"/>
      <c r="J57" s="1717"/>
      <c r="K57" s="1717"/>
      <c r="L57" s="1717"/>
      <c r="M57" s="1717"/>
      <c r="N57" s="1717"/>
      <c r="O57" s="1717"/>
      <c r="P57" s="1717"/>
      <c r="Q57" s="1717"/>
      <c r="R57" s="1717"/>
      <c r="S57" s="1717"/>
      <c r="T57" s="1717"/>
      <c r="U57" s="1717"/>
      <c r="V57" s="1717"/>
      <c r="W57" s="1718"/>
      <c r="AA57" s="74"/>
    </row>
    <row r="58" spans="1:27">
      <c r="A58" s="1716"/>
      <c r="B58" s="1717"/>
      <c r="C58" s="1717"/>
      <c r="D58" s="1717"/>
      <c r="E58" s="1717"/>
      <c r="F58" s="1717"/>
      <c r="G58" s="1717"/>
      <c r="H58" s="1717"/>
      <c r="I58" s="1717"/>
      <c r="J58" s="1717"/>
      <c r="K58" s="1717"/>
      <c r="L58" s="1717"/>
      <c r="M58" s="1717"/>
      <c r="N58" s="1717"/>
      <c r="O58" s="1717"/>
      <c r="P58" s="1717"/>
      <c r="Q58" s="1717"/>
      <c r="R58" s="1717"/>
      <c r="S58" s="1717"/>
      <c r="T58" s="1717"/>
      <c r="U58" s="1717"/>
      <c r="V58" s="1717"/>
      <c r="W58" s="1718"/>
      <c r="AA58" s="74"/>
    </row>
    <row r="59" spans="1:27">
      <c r="A59" s="1716"/>
      <c r="B59" s="1717"/>
      <c r="C59" s="1717"/>
      <c r="D59" s="1717"/>
      <c r="E59" s="1717"/>
      <c r="F59" s="1717"/>
      <c r="G59" s="1717"/>
      <c r="H59" s="1717"/>
      <c r="I59" s="1717"/>
      <c r="J59" s="1717"/>
      <c r="K59" s="1717"/>
      <c r="L59" s="1717"/>
      <c r="M59" s="1717"/>
      <c r="N59" s="1717"/>
      <c r="O59" s="1717"/>
      <c r="P59" s="1717"/>
      <c r="Q59" s="1717"/>
      <c r="R59" s="1717"/>
      <c r="S59" s="1717"/>
      <c r="T59" s="1717"/>
      <c r="U59" s="1717"/>
      <c r="V59" s="1717"/>
      <c r="W59" s="1718"/>
      <c r="AA59" s="74"/>
    </row>
    <row r="60" spans="1:27">
      <c r="A60" s="1716"/>
      <c r="B60" s="1717"/>
      <c r="C60" s="1717"/>
      <c r="D60" s="1717"/>
      <c r="E60" s="1717"/>
      <c r="F60" s="1717"/>
      <c r="G60" s="1717"/>
      <c r="H60" s="1717"/>
      <c r="I60" s="1717"/>
      <c r="J60" s="1717"/>
      <c r="K60" s="1717"/>
      <c r="L60" s="1717"/>
      <c r="M60" s="1717"/>
      <c r="N60" s="1717"/>
      <c r="O60" s="1717"/>
      <c r="P60" s="1717"/>
      <c r="Q60" s="1717"/>
      <c r="R60" s="1717"/>
      <c r="S60" s="1717"/>
      <c r="T60" s="1717"/>
      <c r="U60" s="1717"/>
      <c r="V60" s="1717"/>
      <c r="W60" s="1718"/>
      <c r="AA60" s="74"/>
    </row>
    <row r="61" spans="1:27">
      <c r="A61" s="1716"/>
      <c r="B61" s="1717"/>
      <c r="C61" s="1717"/>
      <c r="D61" s="1717"/>
      <c r="E61" s="1717"/>
      <c r="F61" s="1717"/>
      <c r="G61" s="1717"/>
      <c r="H61" s="1717"/>
      <c r="I61" s="1717"/>
      <c r="J61" s="1717"/>
      <c r="K61" s="1717"/>
      <c r="L61" s="1717"/>
      <c r="M61" s="1717"/>
      <c r="N61" s="1717"/>
      <c r="O61" s="1717"/>
      <c r="P61" s="1717"/>
      <c r="Q61" s="1717"/>
      <c r="R61" s="1717"/>
      <c r="S61" s="1717"/>
      <c r="T61" s="1717"/>
      <c r="U61" s="1717"/>
      <c r="V61" s="1717"/>
      <c r="W61" s="1718"/>
      <c r="AA61" s="74"/>
    </row>
    <row r="62" spans="1:27" ht="12.6" thickBot="1">
      <c r="A62" s="1719"/>
      <c r="B62" s="1720"/>
      <c r="C62" s="1720"/>
      <c r="D62" s="1720"/>
      <c r="E62" s="1720"/>
      <c r="F62" s="1720"/>
      <c r="G62" s="1720"/>
      <c r="H62" s="1720"/>
      <c r="I62" s="1720"/>
      <c r="J62" s="1720"/>
      <c r="K62" s="1720"/>
      <c r="L62" s="1720"/>
      <c r="M62" s="1720"/>
      <c r="N62" s="1720"/>
      <c r="O62" s="1720"/>
      <c r="P62" s="1720"/>
      <c r="Q62" s="1720"/>
      <c r="R62" s="1720"/>
      <c r="S62" s="1720"/>
      <c r="T62" s="1720"/>
      <c r="U62" s="1720"/>
      <c r="V62" s="1720"/>
      <c r="W62" s="1721"/>
      <c r="AA62" s="15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3" sqref="G13"/>
    </sheetView>
  </sheetViews>
  <sheetFormatPr defaultColWidth="8.88671875" defaultRowHeight="13.2"/>
  <cols>
    <col min="1" max="1" width="3.6640625" style="426" customWidth="1"/>
    <col min="2" max="2" width="12.6640625" style="426" customWidth="1"/>
    <col min="3" max="4" width="8.6640625" style="426" customWidth="1"/>
    <col min="5" max="5" width="6.6640625" style="426" customWidth="1"/>
    <col min="6" max="6" width="17.6640625" style="426" customWidth="1"/>
    <col min="7" max="7" width="34.6640625" style="426" customWidth="1"/>
    <col min="8" max="8" width="2.6640625" style="426" customWidth="1"/>
    <col min="9" max="9" width="2.6640625" style="426" hidden="1" customWidth="1"/>
    <col min="10" max="10" width="2.21875" style="426" customWidth="1"/>
    <col min="11" max="11" width="80.6640625" style="332" customWidth="1"/>
    <col min="12" max="16384" width="8.88671875" style="426"/>
  </cols>
  <sheetData>
    <row r="1" spans="1:11" ht="19.5" customHeight="1" thickBot="1">
      <c r="A1" s="1323" t="s">
        <v>1165</v>
      </c>
      <c r="B1" s="1732"/>
      <c r="C1" s="1732"/>
      <c r="D1" s="1732"/>
      <c r="E1" s="1732"/>
      <c r="F1" s="1732"/>
      <c r="G1" s="1732"/>
      <c r="J1" s="53"/>
    </row>
    <row r="2" spans="1:11" ht="35.1" customHeight="1" thickBot="1">
      <c r="A2" s="1268" t="s">
        <v>865</v>
      </c>
      <c r="B2" s="1268"/>
      <c r="C2" s="1268"/>
      <c r="D2" s="1268"/>
      <c r="E2" s="1268"/>
      <c r="F2" s="1350"/>
      <c r="G2" s="757" t="str">
        <f>IF(COUNTIF(I12,"×")&gt;=1,"未入力あり","入力済")</f>
        <v>入力済</v>
      </c>
      <c r="H2" s="1669"/>
      <c r="I2" s="745"/>
      <c r="J2" s="53"/>
    </row>
    <row r="3" spans="1:11" ht="5.0999999999999996" customHeight="1">
      <c r="A3" s="450"/>
      <c r="B3" s="450"/>
      <c r="C3" s="450"/>
      <c r="D3" s="450"/>
      <c r="E3" s="450"/>
      <c r="F3" s="450"/>
      <c r="G3" s="450"/>
      <c r="H3" s="1669"/>
      <c r="I3" s="745"/>
      <c r="J3" s="8"/>
    </row>
    <row r="4" spans="1:11" ht="20.100000000000001" customHeight="1">
      <c r="A4" s="450"/>
      <c r="B4" s="450"/>
      <c r="C4" s="450" t="s">
        <v>1166</v>
      </c>
      <c r="D4" s="450"/>
      <c r="E4" s="450"/>
      <c r="F4" s="759" t="s">
        <v>757</v>
      </c>
      <c r="G4" s="787" t="str">
        <f>表紙!E2</f>
        <v>公益財団法人　日本生命済生会　日本生命病院</v>
      </c>
      <c r="H4" s="1669"/>
      <c r="I4" s="745"/>
      <c r="J4" s="53"/>
    </row>
    <row r="5" spans="1:11" ht="20.100000000000001" customHeight="1">
      <c r="F5" s="1139" t="s">
        <v>911</v>
      </c>
      <c r="G5" s="1" t="str">
        <f>別紙1未充足要件!E5</f>
        <v>令和６年９月１日時点</v>
      </c>
      <c r="K5" s="177" t="s">
        <v>234</v>
      </c>
    </row>
    <row r="6" spans="1:11" ht="20.100000000000001" customHeight="1">
      <c r="A6" s="1736" t="s">
        <v>1167</v>
      </c>
      <c r="B6" s="1736"/>
      <c r="C6" s="1736"/>
      <c r="D6" s="1736"/>
      <c r="E6" s="1736"/>
      <c r="F6" s="1736"/>
      <c r="G6" s="1736"/>
      <c r="K6" s="74"/>
    </row>
    <row r="7" spans="1:11" ht="65.25" customHeight="1">
      <c r="A7" s="1737" t="s">
        <v>1168</v>
      </c>
      <c r="B7" s="1738"/>
      <c r="C7" s="1738"/>
      <c r="D7" s="1738"/>
      <c r="E7" s="1738"/>
      <c r="F7" s="1738"/>
      <c r="G7" s="1738"/>
      <c r="K7" s="74"/>
    </row>
    <row r="8" spans="1:11" ht="27.9" customHeight="1">
      <c r="A8" s="1733"/>
      <c r="B8" s="1734" t="s">
        <v>1169</v>
      </c>
      <c r="C8" s="1735" t="s">
        <v>1170</v>
      </c>
      <c r="D8" s="1735" t="s">
        <v>1171</v>
      </c>
      <c r="E8" s="1731" t="s">
        <v>1172</v>
      </c>
      <c r="F8" s="1731" t="s">
        <v>1173</v>
      </c>
      <c r="G8" s="433" t="s">
        <v>1174</v>
      </c>
      <c r="K8" s="74"/>
    </row>
    <row r="9" spans="1:11" ht="18" customHeight="1">
      <c r="A9" s="1733"/>
      <c r="B9" s="1734"/>
      <c r="C9" s="1735"/>
      <c r="D9" s="1735"/>
      <c r="E9" s="1731"/>
      <c r="F9" s="1731"/>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14</v>
      </c>
      <c r="D12" s="46">
        <v>13</v>
      </c>
      <c r="E12" s="45" t="s">
        <v>1879</v>
      </c>
      <c r="F12" s="45" t="s">
        <v>1914</v>
      </c>
      <c r="G12" s="44" t="s">
        <v>1915</v>
      </c>
      <c r="H12" s="799"/>
      <c r="I12" s="591" t="str">
        <f>IF(AND(B12&lt;&gt;"",C12&lt;&gt;"",D12&lt;&gt;"",E12&lt;&gt;"",F12&lt;&gt;"",G12&lt;&gt;""),"○","×")</f>
        <v>○</v>
      </c>
      <c r="K12" s="74"/>
    </row>
    <row r="13" spans="1:11" ht="36" customHeight="1" thickBot="1">
      <c r="A13" s="798">
        <v>2</v>
      </c>
      <c r="B13" s="45" t="s">
        <v>1176</v>
      </c>
      <c r="C13" s="46">
        <v>14</v>
      </c>
      <c r="D13" s="46">
        <v>6</v>
      </c>
      <c r="E13" s="45" t="s">
        <v>1879</v>
      </c>
      <c r="F13" s="45" t="s">
        <v>1914</v>
      </c>
      <c r="G13" s="44" t="s">
        <v>1916</v>
      </c>
      <c r="K13" s="74"/>
    </row>
    <row r="14" spans="1:11" ht="36" customHeight="1" thickBot="1">
      <c r="A14" s="798">
        <v>3</v>
      </c>
      <c r="B14" s="45"/>
      <c r="C14" s="46"/>
      <c r="D14" s="46"/>
      <c r="E14" s="45"/>
      <c r="F14" s="45"/>
      <c r="G14" s="44"/>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33" sqref="AA33"/>
    </sheetView>
  </sheetViews>
  <sheetFormatPr defaultColWidth="9" defaultRowHeight="12"/>
  <cols>
    <col min="1" max="1" width="4.109375" style="477" customWidth="1"/>
    <col min="2" max="2" width="15.6640625" style="477" customWidth="1"/>
    <col min="3" max="3" width="7.6640625" style="477" customWidth="1"/>
    <col min="4" max="4" width="25.6640625" style="477" customWidth="1"/>
    <col min="5" max="13" width="2.6640625" style="477" customWidth="1"/>
    <col min="14" max="14" width="1.6640625" style="477" customWidth="1"/>
    <col min="15" max="22" width="2.6640625" style="477" customWidth="1"/>
    <col min="23" max="23" width="4.6640625" style="477" customWidth="1"/>
    <col min="24" max="24" width="2.6640625" style="477" customWidth="1"/>
    <col min="25" max="25" width="6" style="477" hidden="1" customWidth="1"/>
    <col min="26" max="26" width="2.21875" style="51" customWidth="1"/>
    <col min="27" max="27" width="80.6640625" style="106" customWidth="1"/>
    <col min="28" max="16384" width="9" style="477"/>
  </cols>
  <sheetData>
    <row r="1" spans="1:29" ht="20.25" customHeight="1" thickBot="1">
      <c r="A1" s="1366" t="s">
        <v>1183</v>
      </c>
      <c r="B1" s="1366"/>
      <c r="C1" s="1366"/>
      <c r="D1" s="1366"/>
      <c r="E1" s="1366"/>
      <c r="F1" s="1366"/>
      <c r="G1" s="1366"/>
      <c r="H1" s="1366"/>
      <c r="I1" s="1366"/>
      <c r="J1" s="1366"/>
      <c r="K1" s="1366"/>
      <c r="L1" s="1366"/>
      <c r="M1" s="1366"/>
      <c r="N1" s="1366"/>
      <c r="O1" s="1366"/>
      <c r="P1" s="1366"/>
      <c r="Q1" s="1366"/>
      <c r="R1" s="1366"/>
      <c r="S1" s="1366"/>
      <c r="T1" s="1366"/>
      <c r="U1" s="1366"/>
      <c r="V1" s="1366"/>
      <c r="W1" s="1366"/>
      <c r="Y1" s="53"/>
      <c r="Z1" s="83"/>
    </row>
    <row r="2" spans="1:29" ht="24.9" customHeight="1" thickBot="1">
      <c r="A2" s="1766" t="s">
        <v>865</v>
      </c>
      <c r="B2" s="1766"/>
      <c r="C2" s="1766"/>
      <c r="D2" s="1766"/>
      <c r="E2" s="1766"/>
      <c r="F2" s="1766"/>
      <c r="G2" s="1766"/>
      <c r="H2" s="1766"/>
      <c r="I2" s="1766"/>
      <c r="J2" s="1766"/>
      <c r="K2" s="1766"/>
      <c r="L2" s="1766"/>
      <c r="M2" s="1766"/>
      <c r="N2" s="1766"/>
      <c r="O2" s="1766"/>
      <c r="P2" s="1766"/>
      <c r="Q2" s="1766"/>
      <c r="R2" s="1766"/>
      <c r="S2" s="1767"/>
      <c r="T2" s="1763" t="str">
        <f>IF(COUNTIF(Y7:Y35,"×")&gt;=1,"未入力あり","入力済")</f>
        <v>入力済</v>
      </c>
      <c r="U2" s="1764"/>
      <c r="V2" s="1764"/>
      <c r="W2" s="1765"/>
      <c r="X2" s="1669"/>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69"/>
    </row>
    <row r="4" spans="1:29" ht="20.100000000000001" customHeight="1">
      <c r="A4" s="473"/>
      <c r="B4" s="473"/>
      <c r="C4" s="473"/>
      <c r="D4" s="801" t="s">
        <v>757</v>
      </c>
      <c r="E4" s="1760" t="str">
        <f>表紙!E2</f>
        <v>公益財団法人　日本生命済生会　日本生命病院</v>
      </c>
      <c r="F4" s="1761"/>
      <c r="G4" s="1761"/>
      <c r="H4" s="1761"/>
      <c r="I4" s="1761"/>
      <c r="J4" s="1761"/>
      <c r="K4" s="1761"/>
      <c r="L4" s="1761"/>
      <c r="M4" s="1761"/>
      <c r="N4" s="1761"/>
      <c r="O4" s="1761"/>
      <c r="P4" s="1761"/>
      <c r="Q4" s="1761"/>
      <c r="R4" s="1761"/>
      <c r="S4" s="1761"/>
      <c r="T4" s="1761"/>
      <c r="U4" s="1761"/>
      <c r="V4" s="1761"/>
      <c r="W4" s="1762"/>
      <c r="X4" s="1669"/>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2" customHeight="1" thickBot="1">
      <c r="A6" s="804" t="s">
        <v>1185</v>
      </c>
      <c r="B6" s="1739" t="s">
        <v>1186</v>
      </c>
      <c r="C6" s="1739"/>
      <c r="D6" s="1739"/>
      <c r="E6" s="1739"/>
      <c r="F6" s="1739"/>
      <c r="G6" s="1739"/>
      <c r="H6" s="1739"/>
      <c r="I6" s="1739"/>
      <c r="J6" s="1739"/>
      <c r="K6" s="1739"/>
      <c r="L6" s="1739"/>
      <c r="M6" s="1739"/>
      <c r="N6" s="1739"/>
      <c r="O6" s="1739"/>
      <c r="P6" s="1739"/>
      <c r="Q6" s="1739"/>
      <c r="R6" s="1739"/>
      <c r="S6" s="1739"/>
      <c r="T6" s="1739"/>
      <c r="U6" s="1739"/>
      <c r="V6" s="1739"/>
      <c r="W6" s="1739"/>
      <c r="Z6" s="805"/>
      <c r="AA6" s="161"/>
    </row>
    <row r="7" spans="1:29" ht="21" customHeight="1" thickBot="1">
      <c r="A7" s="1464">
        <v>1</v>
      </c>
      <c r="B7" s="1752" t="s">
        <v>1187</v>
      </c>
      <c r="C7" s="1753"/>
      <c r="D7" s="1753"/>
      <c r="E7" s="1753"/>
      <c r="F7" s="1753"/>
      <c r="G7" s="1753"/>
      <c r="H7" s="1753"/>
      <c r="I7" s="1753"/>
      <c r="J7" s="1753"/>
      <c r="K7" s="1753"/>
      <c r="L7" s="1754"/>
      <c r="M7" s="1530" t="s">
        <v>1917</v>
      </c>
      <c r="N7" s="1750"/>
      <c r="O7" s="1750"/>
      <c r="P7" s="1750"/>
      <c r="Q7" s="1750"/>
      <c r="R7" s="1750"/>
      <c r="S7" s="1750"/>
      <c r="T7" s="1750"/>
      <c r="U7" s="1750"/>
      <c r="V7" s="1750"/>
      <c r="W7" s="1751"/>
      <c r="X7" s="479"/>
      <c r="Y7" s="477" t="str">
        <f>IF(M7="","×","○")</f>
        <v>○</v>
      </c>
      <c r="Z7" s="805"/>
      <c r="AA7" s="161"/>
    </row>
    <row r="8" spans="1:29" ht="15" customHeight="1" thickBot="1">
      <c r="A8" s="1392"/>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392"/>
      <c r="B9" s="810" t="s">
        <v>1189</v>
      </c>
      <c r="C9" s="811"/>
      <c r="D9" s="812"/>
      <c r="E9" s="1755" t="s">
        <v>1190</v>
      </c>
      <c r="F9" s="1755"/>
      <c r="G9" s="1756"/>
      <c r="H9" s="1748" t="s">
        <v>862</v>
      </c>
      <c r="I9" s="1749"/>
      <c r="J9" s="1745" t="s">
        <v>1191</v>
      </c>
      <c r="K9" s="1747"/>
      <c r="L9" s="1748" t="s">
        <v>862</v>
      </c>
      <c r="M9" s="1749"/>
      <c r="N9" s="1745" t="s">
        <v>1192</v>
      </c>
      <c r="O9" s="1746"/>
      <c r="P9" s="1747"/>
      <c r="Q9" s="1748"/>
      <c r="R9" s="1749"/>
      <c r="S9" s="1745" t="s">
        <v>1193</v>
      </c>
      <c r="T9" s="1746"/>
      <c r="U9" s="1746"/>
      <c r="V9" s="1747"/>
      <c r="W9" s="47"/>
      <c r="X9" s="479"/>
      <c r="Y9" s="479" t="str">
        <f>IF(AND(M7="臨床試験専用の窓口がある",AND(H9="",L9="",Q9="",W9="")),"×","○")</f>
        <v>○</v>
      </c>
      <c r="Z9" s="805"/>
      <c r="AA9" s="161"/>
    </row>
    <row r="10" spans="1:29" ht="21" customHeight="1" thickBot="1">
      <c r="A10" s="1392"/>
      <c r="B10" s="1466" t="s">
        <v>879</v>
      </c>
      <c r="C10" s="1466"/>
      <c r="D10" s="1467" t="s">
        <v>1918</v>
      </c>
      <c r="E10" s="1468"/>
      <c r="F10" s="1468"/>
      <c r="G10" s="1468"/>
      <c r="H10" s="1468"/>
      <c r="I10" s="1468"/>
      <c r="J10" s="1468"/>
      <c r="K10" s="1468"/>
      <c r="L10" s="1468"/>
      <c r="M10" s="1468"/>
      <c r="N10" s="1468"/>
      <c r="O10" s="1468"/>
      <c r="P10" s="1468"/>
      <c r="Q10" s="1468"/>
      <c r="R10" s="1468"/>
      <c r="S10" s="1468"/>
      <c r="T10" s="1468"/>
      <c r="U10" s="1468"/>
      <c r="V10" s="1468"/>
      <c r="W10" s="1472"/>
      <c r="X10" s="479"/>
      <c r="Y10" s="479" t="str">
        <f>IF(AND(H9="○",D10=""),"×","○")</f>
        <v>○</v>
      </c>
      <c r="Z10" s="805"/>
      <c r="AA10" s="161"/>
    </row>
    <row r="11" spans="1:29" ht="54" customHeight="1" thickBot="1">
      <c r="A11" s="1392"/>
      <c r="B11" s="1743" t="s">
        <v>1194</v>
      </c>
      <c r="C11" s="813" t="s">
        <v>875</v>
      </c>
      <c r="D11" s="1320" t="s">
        <v>1918</v>
      </c>
      <c r="E11" s="1397"/>
      <c r="F11" s="1397"/>
      <c r="G11" s="1397"/>
      <c r="H11" s="1397"/>
      <c r="I11" s="1397"/>
      <c r="J11" s="1397"/>
      <c r="K11" s="1397"/>
      <c r="L11" s="1397"/>
      <c r="M11" s="1397"/>
      <c r="N11" s="1397"/>
      <c r="O11" s="1397"/>
      <c r="P11" s="1397"/>
      <c r="Q11" s="1397"/>
      <c r="R11" s="1397"/>
      <c r="S11" s="1397"/>
      <c r="T11" s="1397"/>
      <c r="U11" s="1397"/>
      <c r="V11" s="1397"/>
      <c r="W11" s="1321"/>
      <c r="X11" s="479"/>
      <c r="Y11" s="479"/>
      <c r="Z11" s="805"/>
      <c r="AA11" s="161"/>
    </row>
    <row r="12" spans="1:29" ht="21" customHeight="1" thickBot="1">
      <c r="A12" s="1392"/>
      <c r="B12" s="1744"/>
      <c r="C12" s="814" t="s">
        <v>899</v>
      </c>
      <c r="D12" s="1320" t="s">
        <v>1919</v>
      </c>
      <c r="E12" s="1397"/>
      <c r="F12" s="1397"/>
      <c r="G12" s="1397"/>
      <c r="H12" s="1397"/>
      <c r="I12" s="1397"/>
      <c r="J12" s="1397"/>
      <c r="K12" s="1397"/>
      <c r="L12" s="1397"/>
      <c r="M12" s="1397"/>
      <c r="N12" s="1397"/>
      <c r="O12" s="1397"/>
      <c r="P12" s="1397"/>
      <c r="Q12" s="1397"/>
      <c r="R12" s="1397"/>
      <c r="S12" s="1397"/>
      <c r="T12" s="1397"/>
      <c r="U12" s="1397"/>
      <c r="V12" s="1397"/>
      <c r="W12" s="1321"/>
      <c r="X12" s="479"/>
      <c r="Y12" s="479"/>
      <c r="Z12" s="805"/>
      <c r="AA12" s="161"/>
    </row>
    <row r="13" spans="1:29" ht="21" customHeight="1" thickBot="1">
      <c r="A13" s="1393"/>
      <c r="B13" s="1740" t="s">
        <v>880</v>
      </c>
      <c r="C13" s="1741"/>
      <c r="D13" s="1626" t="s">
        <v>1816</v>
      </c>
      <c r="E13" s="1627"/>
      <c r="F13" s="1627"/>
      <c r="G13" s="1627"/>
      <c r="H13" s="1627"/>
      <c r="I13" s="1627"/>
      <c r="J13" s="1628"/>
      <c r="K13" s="1742" t="s">
        <v>881</v>
      </c>
      <c r="L13" s="1742"/>
      <c r="M13" s="1742"/>
      <c r="N13" s="1408"/>
      <c r="O13" s="1409"/>
      <c r="P13" s="1409"/>
      <c r="Q13" s="1409"/>
      <c r="R13" s="1409"/>
      <c r="S13" s="1409"/>
      <c r="T13" s="1409"/>
      <c r="U13" s="1409"/>
      <c r="V13" s="1409"/>
      <c r="W13" s="1410"/>
      <c r="X13" s="479"/>
      <c r="Y13" s="479" t="str">
        <f>IF(AND(L9="○",D13=""),"×","○")</f>
        <v>○</v>
      </c>
      <c r="Z13" s="805"/>
      <c r="AA13" s="161"/>
    </row>
    <row r="14" spans="1:29" ht="21.75" customHeight="1">
      <c r="A14" s="1464">
        <v>2</v>
      </c>
      <c r="B14" s="1757" t="s">
        <v>1195</v>
      </c>
      <c r="C14" s="1758"/>
      <c r="D14" s="1758"/>
      <c r="E14" s="1758"/>
      <c r="F14" s="1758"/>
      <c r="G14" s="1758"/>
      <c r="H14" s="1758"/>
      <c r="I14" s="1758"/>
      <c r="J14" s="1758"/>
      <c r="K14" s="1758"/>
      <c r="L14" s="1759"/>
      <c r="M14" s="1768" t="s">
        <v>1917</v>
      </c>
      <c r="N14" s="1769"/>
      <c r="O14" s="1769"/>
      <c r="P14" s="1769"/>
      <c r="Q14" s="1769"/>
      <c r="R14" s="1769"/>
      <c r="S14" s="1769"/>
      <c r="T14" s="1769"/>
      <c r="U14" s="1769"/>
      <c r="V14" s="1769"/>
      <c r="W14" s="1770"/>
      <c r="X14" s="479"/>
      <c r="Y14" s="477" t="str">
        <f>IF(M14="","×","○")</f>
        <v>○</v>
      </c>
      <c r="Z14" s="805"/>
      <c r="AA14" s="161"/>
    </row>
    <row r="15" spans="1:29" ht="15" customHeight="1" thickBot="1">
      <c r="A15" s="1392"/>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392"/>
      <c r="B16" s="810" t="s">
        <v>1189</v>
      </c>
      <c r="C16" s="811"/>
      <c r="D16" s="812"/>
      <c r="E16" s="1755" t="s">
        <v>1190</v>
      </c>
      <c r="F16" s="1755"/>
      <c r="G16" s="1756"/>
      <c r="H16" s="1748" t="s">
        <v>862</v>
      </c>
      <c r="I16" s="1749"/>
      <c r="J16" s="1745" t="s">
        <v>1191</v>
      </c>
      <c r="K16" s="1747"/>
      <c r="L16" s="1748" t="s">
        <v>862</v>
      </c>
      <c r="M16" s="1749"/>
      <c r="N16" s="1745" t="s">
        <v>1192</v>
      </c>
      <c r="O16" s="1746"/>
      <c r="P16" s="1747"/>
      <c r="Q16" s="1748"/>
      <c r="R16" s="1749"/>
      <c r="S16" s="1745" t="s">
        <v>1193</v>
      </c>
      <c r="T16" s="1746"/>
      <c r="U16" s="1746"/>
      <c r="V16" s="1747"/>
      <c r="W16" s="47"/>
      <c r="Y16" s="479" t="str">
        <f>IF(AND(M14="臨床試験専用の窓口がある",AND(H16="",L16="",Q16="",W16="")),"×","○")</f>
        <v>○</v>
      </c>
      <c r="Z16" s="817"/>
      <c r="AA16" s="822"/>
      <c r="AC16" s="818"/>
    </row>
    <row r="17" spans="1:27" ht="21" customHeight="1" thickBot="1">
      <c r="A17" s="1392"/>
      <c r="B17" s="1466" t="s">
        <v>879</v>
      </c>
      <c r="C17" s="1466"/>
      <c r="D17" s="1467" t="s">
        <v>1918</v>
      </c>
      <c r="E17" s="1468"/>
      <c r="F17" s="1468"/>
      <c r="G17" s="1468"/>
      <c r="H17" s="1468"/>
      <c r="I17" s="1468"/>
      <c r="J17" s="1468"/>
      <c r="K17" s="1468"/>
      <c r="L17" s="1468"/>
      <c r="M17" s="1468"/>
      <c r="N17" s="1468"/>
      <c r="O17" s="1468"/>
      <c r="P17" s="1468"/>
      <c r="Q17" s="1468"/>
      <c r="R17" s="1468"/>
      <c r="S17" s="1468"/>
      <c r="T17" s="1468"/>
      <c r="U17" s="1468"/>
      <c r="V17" s="1468"/>
      <c r="W17" s="1472"/>
      <c r="Y17" s="479" t="str">
        <f>IF(AND(H16="○",D17=""),"×","○")</f>
        <v>○</v>
      </c>
      <c r="Z17" s="805"/>
      <c r="AA17" s="161"/>
    </row>
    <row r="18" spans="1:27" ht="53.25" customHeight="1" thickBot="1">
      <c r="A18" s="1392"/>
      <c r="B18" s="1743" t="s">
        <v>1194</v>
      </c>
      <c r="C18" s="813" t="s">
        <v>875</v>
      </c>
      <c r="D18" s="1320" t="s">
        <v>1918</v>
      </c>
      <c r="E18" s="1397"/>
      <c r="F18" s="1397"/>
      <c r="G18" s="1397"/>
      <c r="H18" s="1397"/>
      <c r="I18" s="1397"/>
      <c r="J18" s="1397"/>
      <c r="K18" s="1397"/>
      <c r="L18" s="1397"/>
      <c r="M18" s="1397"/>
      <c r="N18" s="1397"/>
      <c r="O18" s="1397"/>
      <c r="P18" s="1397"/>
      <c r="Q18" s="1397"/>
      <c r="R18" s="1397"/>
      <c r="S18" s="1397"/>
      <c r="T18" s="1397"/>
      <c r="U18" s="1397"/>
      <c r="V18" s="1397"/>
      <c r="W18" s="1321"/>
      <c r="Y18" s="479"/>
      <c r="Z18" s="805"/>
      <c r="AA18" s="161"/>
    </row>
    <row r="19" spans="1:27" ht="21" customHeight="1" thickBot="1">
      <c r="A19" s="1392"/>
      <c r="B19" s="1744"/>
      <c r="C19" s="814" t="s">
        <v>899</v>
      </c>
      <c r="D19" s="1320" t="s">
        <v>1919</v>
      </c>
      <c r="E19" s="1397"/>
      <c r="F19" s="1397"/>
      <c r="G19" s="1397"/>
      <c r="H19" s="1397"/>
      <c r="I19" s="1397"/>
      <c r="J19" s="1397"/>
      <c r="K19" s="1397"/>
      <c r="L19" s="1397"/>
      <c r="M19" s="1397"/>
      <c r="N19" s="1397"/>
      <c r="O19" s="1397"/>
      <c r="P19" s="1397"/>
      <c r="Q19" s="1397"/>
      <c r="R19" s="1397"/>
      <c r="S19" s="1397"/>
      <c r="T19" s="1397"/>
      <c r="U19" s="1397"/>
      <c r="V19" s="1397"/>
      <c r="W19" s="1321"/>
      <c r="Z19" s="805"/>
      <c r="AA19" s="161"/>
    </row>
    <row r="20" spans="1:27" ht="30" customHeight="1" thickBot="1">
      <c r="A20" s="1393"/>
      <c r="B20" s="1740" t="s">
        <v>880</v>
      </c>
      <c r="C20" s="1741"/>
      <c r="D20" s="1626" t="s">
        <v>1816</v>
      </c>
      <c r="E20" s="1627"/>
      <c r="F20" s="1627"/>
      <c r="G20" s="1627"/>
      <c r="H20" s="1627"/>
      <c r="I20" s="1627"/>
      <c r="J20" s="1628"/>
      <c r="K20" s="1742" t="s">
        <v>881</v>
      </c>
      <c r="L20" s="1742"/>
      <c r="M20" s="1742"/>
      <c r="N20" s="1408"/>
      <c r="O20" s="1409"/>
      <c r="P20" s="1409"/>
      <c r="Q20" s="1409"/>
      <c r="R20" s="1409"/>
      <c r="S20" s="1409"/>
      <c r="T20" s="1409"/>
      <c r="U20" s="1409"/>
      <c r="V20" s="1409"/>
      <c r="W20" s="1410"/>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64">
        <v>1</v>
      </c>
      <c r="B22" s="1525" t="s">
        <v>1198</v>
      </c>
      <c r="C22" s="1526"/>
      <c r="D22" s="1526"/>
      <c r="E22" s="1526"/>
      <c r="F22" s="1526"/>
      <c r="G22" s="1526"/>
      <c r="H22" s="1526"/>
      <c r="I22" s="1526"/>
      <c r="J22" s="1526"/>
      <c r="K22" s="1526"/>
      <c r="L22" s="1773"/>
      <c r="M22" s="1530" t="s">
        <v>1920</v>
      </c>
      <c r="N22" s="1750"/>
      <c r="O22" s="1750"/>
      <c r="P22" s="1750"/>
      <c r="Q22" s="1750"/>
      <c r="R22" s="1750"/>
      <c r="S22" s="1750"/>
      <c r="T22" s="1750"/>
      <c r="U22" s="1750"/>
      <c r="V22" s="1750"/>
      <c r="W22" s="1751"/>
      <c r="Y22" s="477" t="str">
        <f>IF(M22="","×","○")</f>
        <v>○</v>
      </c>
      <c r="Z22" s="805"/>
      <c r="AA22" s="161"/>
    </row>
    <row r="23" spans="1:27" ht="24" customHeight="1" thickBot="1">
      <c r="A23" s="1771"/>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71"/>
      <c r="B24" s="810" t="s">
        <v>1189</v>
      </c>
      <c r="C24" s="811"/>
      <c r="D24" s="812"/>
      <c r="E24" s="1755" t="s">
        <v>1190</v>
      </c>
      <c r="F24" s="1755"/>
      <c r="G24" s="1756"/>
      <c r="H24" s="1748" t="s">
        <v>862</v>
      </c>
      <c r="I24" s="1749"/>
      <c r="J24" s="1745" t="s">
        <v>1191</v>
      </c>
      <c r="K24" s="1747"/>
      <c r="L24" s="1748" t="s">
        <v>862</v>
      </c>
      <c r="M24" s="1749"/>
      <c r="N24" s="1745" t="s">
        <v>1192</v>
      </c>
      <c r="O24" s="1746"/>
      <c r="P24" s="1747"/>
      <c r="Q24" s="1748"/>
      <c r="R24" s="1749"/>
      <c r="S24" s="1745" t="s">
        <v>1193</v>
      </c>
      <c r="T24" s="1746"/>
      <c r="U24" s="1746"/>
      <c r="V24" s="1747"/>
      <c r="W24" s="47"/>
      <c r="Y24" s="479" t="str">
        <f>IF(AND(M22="治験専用の窓口がある",AND(H24="",L24="",Q24="",W24="")),"×","○")</f>
        <v>○</v>
      </c>
      <c r="Z24" s="805"/>
      <c r="AA24" s="161"/>
    </row>
    <row r="25" spans="1:27" ht="24" customHeight="1" thickBot="1">
      <c r="A25" s="1771"/>
      <c r="B25" s="1466" t="s">
        <v>879</v>
      </c>
      <c r="C25" s="1466"/>
      <c r="D25" s="1467" t="s">
        <v>1918</v>
      </c>
      <c r="E25" s="1468"/>
      <c r="F25" s="1468"/>
      <c r="G25" s="1468"/>
      <c r="H25" s="1468"/>
      <c r="I25" s="1468"/>
      <c r="J25" s="1468"/>
      <c r="K25" s="1468"/>
      <c r="L25" s="1468"/>
      <c r="M25" s="1468"/>
      <c r="N25" s="1468"/>
      <c r="O25" s="1468"/>
      <c r="P25" s="1468"/>
      <c r="Q25" s="1468"/>
      <c r="R25" s="1468"/>
      <c r="S25" s="1468"/>
      <c r="T25" s="1468"/>
      <c r="U25" s="1468"/>
      <c r="V25" s="1468"/>
      <c r="W25" s="1472"/>
      <c r="Y25" s="479" t="str">
        <f>IF(AND(H24="○",D25=""),"×","○")</f>
        <v>○</v>
      </c>
      <c r="Z25" s="805"/>
      <c r="AA25" s="161"/>
    </row>
    <row r="26" spans="1:27" ht="54" customHeight="1" thickBot="1">
      <c r="A26" s="1771"/>
      <c r="B26" s="1743" t="s">
        <v>1194</v>
      </c>
      <c r="C26" s="813" t="s">
        <v>875</v>
      </c>
      <c r="D26" s="1320" t="s">
        <v>1918</v>
      </c>
      <c r="E26" s="1397"/>
      <c r="F26" s="1397"/>
      <c r="G26" s="1397"/>
      <c r="H26" s="1397"/>
      <c r="I26" s="1397"/>
      <c r="J26" s="1397"/>
      <c r="K26" s="1397"/>
      <c r="L26" s="1397"/>
      <c r="M26" s="1397"/>
      <c r="N26" s="1397"/>
      <c r="O26" s="1397"/>
      <c r="P26" s="1397"/>
      <c r="Q26" s="1397"/>
      <c r="R26" s="1397"/>
      <c r="S26" s="1397"/>
      <c r="T26" s="1397"/>
      <c r="U26" s="1397"/>
      <c r="V26" s="1397"/>
      <c r="W26" s="1321"/>
      <c r="Z26" s="805"/>
      <c r="AA26" s="161"/>
    </row>
    <row r="27" spans="1:27" ht="24" customHeight="1" thickBot="1">
      <c r="A27" s="1771"/>
      <c r="B27" s="1744"/>
      <c r="C27" s="814" t="s">
        <v>899</v>
      </c>
      <c r="D27" s="1320" t="s">
        <v>1919</v>
      </c>
      <c r="E27" s="1397"/>
      <c r="F27" s="1397"/>
      <c r="G27" s="1397"/>
      <c r="H27" s="1397"/>
      <c r="I27" s="1397"/>
      <c r="J27" s="1397"/>
      <c r="K27" s="1397"/>
      <c r="L27" s="1397"/>
      <c r="M27" s="1397"/>
      <c r="N27" s="1397"/>
      <c r="O27" s="1397"/>
      <c r="P27" s="1397"/>
      <c r="Q27" s="1397"/>
      <c r="R27" s="1397"/>
      <c r="S27" s="1397"/>
      <c r="T27" s="1397"/>
      <c r="U27" s="1397"/>
      <c r="V27" s="1397"/>
      <c r="W27" s="1321"/>
      <c r="Z27" s="805"/>
      <c r="AA27" s="161"/>
    </row>
    <row r="28" spans="1:27" ht="24" customHeight="1" thickBot="1">
      <c r="A28" s="1772"/>
      <c r="B28" s="1740" t="s">
        <v>880</v>
      </c>
      <c r="C28" s="1741"/>
      <c r="D28" s="1626" t="s">
        <v>1816</v>
      </c>
      <c r="E28" s="1627"/>
      <c r="F28" s="1627"/>
      <c r="G28" s="1627"/>
      <c r="H28" s="1627"/>
      <c r="I28" s="1627"/>
      <c r="J28" s="1628"/>
      <c r="K28" s="1742" t="s">
        <v>881</v>
      </c>
      <c r="L28" s="1742"/>
      <c r="M28" s="1742"/>
      <c r="N28" s="1408"/>
      <c r="O28" s="1409"/>
      <c r="P28" s="1409"/>
      <c r="Q28" s="1409"/>
      <c r="R28" s="1409"/>
      <c r="S28" s="1409"/>
      <c r="T28" s="1409"/>
      <c r="U28" s="1409"/>
      <c r="V28" s="1409"/>
      <c r="W28" s="1410"/>
      <c r="Y28" s="479" t="str">
        <f>IF(AND(L24="○",D28=""),"×","○")</f>
        <v>○</v>
      </c>
      <c r="Z28" s="805"/>
      <c r="AA28" s="161"/>
    </row>
    <row r="29" spans="1:27" ht="21" customHeight="1" thickBot="1">
      <c r="A29" s="1464">
        <v>2</v>
      </c>
      <c r="B29" s="1757" t="s">
        <v>1200</v>
      </c>
      <c r="C29" s="1758"/>
      <c r="D29" s="1758"/>
      <c r="E29" s="1758"/>
      <c r="F29" s="1758"/>
      <c r="G29" s="1758"/>
      <c r="H29" s="1758"/>
      <c r="I29" s="1758"/>
      <c r="J29" s="1758"/>
      <c r="K29" s="1758"/>
      <c r="L29" s="1774"/>
      <c r="M29" s="1530" t="s">
        <v>1920</v>
      </c>
      <c r="N29" s="1750"/>
      <c r="O29" s="1750"/>
      <c r="P29" s="1750"/>
      <c r="Q29" s="1750"/>
      <c r="R29" s="1750"/>
      <c r="S29" s="1750"/>
      <c r="T29" s="1750"/>
      <c r="U29" s="1750"/>
      <c r="V29" s="1750"/>
      <c r="W29" s="1751"/>
      <c r="Y29" s="477" t="str">
        <f>IF(M29="","×","○")</f>
        <v>○</v>
      </c>
      <c r="Z29" s="805"/>
      <c r="AA29" s="161"/>
    </row>
    <row r="30" spans="1:27" ht="24" customHeight="1" thickBot="1">
      <c r="A30" s="1392"/>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392"/>
      <c r="B31" s="810" t="s">
        <v>1189</v>
      </c>
      <c r="C31" s="811"/>
      <c r="D31" s="812"/>
      <c r="E31" s="1755" t="s">
        <v>1190</v>
      </c>
      <c r="F31" s="1755"/>
      <c r="G31" s="1756"/>
      <c r="H31" s="1748" t="s">
        <v>862</v>
      </c>
      <c r="I31" s="1749"/>
      <c r="J31" s="1745" t="s">
        <v>1191</v>
      </c>
      <c r="K31" s="1747"/>
      <c r="L31" s="1748" t="s">
        <v>862</v>
      </c>
      <c r="M31" s="1749"/>
      <c r="N31" s="1745" t="s">
        <v>1192</v>
      </c>
      <c r="O31" s="1746"/>
      <c r="P31" s="1747"/>
      <c r="Q31" s="1748"/>
      <c r="R31" s="1749"/>
      <c r="S31" s="1745" t="s">
        <v>1193</v>
      </c>
      <c r="T31" s="1746"/>
      <c r="U31" s="1746"/>
      <c r="V31" s="1747"/>
      <c r="W31" s="47"/>
      <c r="Y31" s="479" t="str">
        <f>IF(AND(M29="治験専用の窓口がある",AND(H31="",L31="",Q31="",W31="")),"×","○")</f>
        <v>○</v>
      </c>
      <c r="Z31" s="805"/>
      <c r="AA31" s="161"/>
    </row>
    <row r="32" spans="1:27" ht="24" customHeight="1" thickBot="1">
      <c r="A32" s="1392"/>
      <c r="B32" s="1466" t="s">
        <v>879</v>
      </c>
      <c r="C32" s="1466"/>
      <c r="D32" s="1467" t="s">
        <v>1918</v>
      </c>
      <c r="E32" s="1468"/>
      <c r="F32" s="1468"/>
      <c r="G32" s="1468"/>
      <c r="H32" s="1468"/>
      <c r="I32" s="1468"/>
      <c r="J32" s="1468"/>
      <c r="K32" s="1468"/>
      <c r="L32" s="1468"/>
      <c r="M32" s="1468"/>
      <c r="N32" s="1468"/>
      <c r="O32" s="1468"/>
      <c r="P32" s="1468"/>
      <c r="Q32" s="1468"/>
      <c r="R32" s="1468"/>
      <c r="S32" s="1468"/>
      <c r="T32" s="1468"/>
      <c r="U32" s="1468"/>
      <c r="V32" s="1468"/>
      <c r="W32" s="1472"/>
      <c r="Y32" s="479" t="str">
        <f>IF(AND(H31="○",D32=""),"×","○")</f>
        <v>○</v>
      </c>
      <c r="Z32" s="805"/>
      <c r="AA32" s="161"/>
    </row>
    <row r="33" spans="1:27" ht="53.25" customHeight="1" thickBot="1">
      <c r="A33" s="1392"/>
      <c r="B33" s="1743" t="s">
        <v>1194</v>
      </c>
      <c r="C33" s="813" t="s">
        <v>875</v>
      </c>
      <c r="D33" s="1320" t="s">
        <v>1918</v>
      </c>
      <c r="E33" s="1397"/>
      <c r="F33" s="1397"/>
      <c r="G33" s="1397"/>
      <c r="H33" s="1397"/>
      <c r="I33" s="1397"/>
      <c r="J33" s="1397"/>
      <c r="K33" s="1397"/>
      <c r="L33" s="1397"/>
      <c r="M33" s="1397"/>
      <c r="N33" s="1397"/>
      <c r="O33" s="1397"/>
      <c r="P33" s="1397"/>
      <c r="Q33" s="1397"/>
      <c r="R33" s="1397"/>
      <c r="S33" s="1397"/>
      <c r="T33" s="1397"/>
      <c r="U33" s="1397"/>
      <c r="V33" s="1397"/>
      <c r="W33" s="1321"/>
      <c r="Z33" s="805"/>
      <c r="AA33" s="161"/>
    </row>
    <row r="34" spans="1:27" ht="24" customHeight="1" thickBot="1">
      <c r="A34" s="1392"/>
      <c r="B34" s="1744"/>
      <c r="C34" s="814" t="s">
        <v>899</v>
      </c>
      <c r="D34" s="1320" t="s">
        <v>1919</v>
      </c>
      <c r="E34" s="1397"/>
      <c r="F34" s="1397"/>
      <c r="G34" s="1397"/>
      <c r="H34" s="1397"/>
      <c r="I34" s="1397"/>
      <c r="J34" s="1397"/>
      <c r="K34" s="1397"/>
      <c r="L34" s="1397"/>
      <c r="M34" s="1397"/>
      <c r="N34" s="1397"/>
      <c r="O34" s="1397"/>
      <c r="P34" s="1397"/>
      <c r="Q34" s="1397"/>
      <c r="R34" s="1397"/>
      <c r="S34" s="1397"/>
      <c r="T34" s="1397"/>
      <c r="U34" s="1397"/>
      <c r="V34" s="1397"/>
      <c r="W34" s="1321"/>
      <c r="Z34" s="805"/>
      <c r="AA34" s="161"/>
    </row>
    <row r="35" spans="1:27" ht="24" customHeight="1" thickBot="1">
      <c r="A35" s="1392"/>
      <c r="B35" s="1740" t="s">
        <v>880</v>
      </c>
      <c r="C35" s="1741"/>
      <c r="D35" s="1626" t="s">
        <v>1816</v>
      </c>
      <c r="E35" s="1627"/>
      <c r="F35" s="1627"/>
      <c r="G35" s="1627"/>
      <c r="H35" s="1627"/>
      <c r="I35" s="1627"/>
      <c r="J35" s="1628"/>
      <c r="K35" s="1742" t="s">
        <v>881</v>
      </c>
      <c r="L35" s="1742"/>
      <c r="M35" s="1742"/>
      <c r="N35" s="1408"/>
      <c r="O35" s="1409"/>
      <c r="P35" s="1409"/>
      <c r="Q35" s="1409"/>
      <c r="R35" s="1409"/>
      <c r="S35" s="1409"/>
      <c r="T35" s="1409"/>
      <c r="U35" s="1409"/>
      <c r="V35" s="1409"/>
      <c r="W35" s="1410"/>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S13" sqref="S13"/>
    </sheetView>
  </sheetViews>
  <sheetFormatPr defaultColWidth="9" defaultRowHeight="12"/>
  <cols>
    <col min="1" max="1" width="3.6640625" style="8" customWidth="1"/>
    <col min="2" max="7" width="9.33203125" style="8" customWidth="1"/>
    <col min="8" max="8" width="17.88671875" style="8" customWidth="1"/>
    <col min="9" max="13" width="2.6640625" style="8" customWidth="1"/>
    <col min="14" max="14" width="0.88671875" style="8" customWidth="1"/>
    <col min="15" max="15" width="11.44140625" style="8" customWidth="1"/>
    <col min="16" max="16" width="0.88671875" style="8" customWidth="1"/>
    <col min="17" max="17" width="15" style="8" hidden="1" customWidth="1"/>
    <col min="18" max="18" width="2.21875" style="51" customWidth="1"/>
    <col min="19" max="19" width="80.6640625" style="106" customWidth="1"/>
    <col min="20" max="16384" width="9" style="8"/>
  </cols>
  <sheetData>
    <row r="1" spans="1:19" ht="15.9" customHeight="1" thickBot="1">
      <c r="A1" s="1323" t="s">
        <v>1201</v>
      </c>
      <c r="B1" s="1323"/>
      <c r="C1" s="1323"/>
      <c r="D1" s="1323"/>
      <c r="E1" s="1323"/>
      <c r="F1" s="1323"/>
      <c r="G1" s="1323"/>
      <c r="H1" s="1323"/>
      <c r="I1" s="1323"/>
      <c r="J1" s="1323"/>
      <c r="K1" s="1323"/>
      <c r="L1" s="1323"/>
      <c r="M1" s="1323"/>
      <c r="N1" s="1323"/>
      <c r="O1" s="1323"/>
      <c r="P1" s="824"/>
      <c r="Q1" s="613"/>
      <c r="R1" s="83"/>
      <c r="S1" s="614"/>
    </row>
    <row r="2" spans="1:19" ht="24.9" customHeight="1" thickBot="1">
      <c r="A2" s="1435" t="s">
        <v>865</v>
      </c>
      <c r="B2" s="1435"/>
      <c r="C2" s="1435"/>
      <c r="D2" s="1435"/>
      <c r="E2" s="1435"/>
      <c r="F2" s="1435"/>
      <c r="G2" s="1435"/>
      <c r="H2" s="1435"/>
      <c r="I2" s="1435"/>
      <c r="J2" s="1435"/>
      <c r="K2" s="1435"/>
      <c r="L2" s="1435"/>
      <c r="M2" s="1435"/>
      <c r="N2" s="1435"/>
      <c r="O2" s="825" t="str">
        <f>IF(COUNTIF(Q7:Q14,"×")&gt;=1,"未入力あり","入力済")</f>
        <v>入力済</v>
      </c>
      <c r="P2" s="1330"/>
      <c r="Q2" s="1330"/>
      <c r="R2" s="83"/>
    </row>
    <row r="3" spans="1:19" ht="5.0999999999999996" customHeight="1">
      <c r="A3" s="477"/>
      <c r="B3" s="477"/>
      <c r="C3" s="477"/>
      <c r="D3" s="477"/>
      <c r="E3" s="477"/>
      <c r="F3" s="477"/>
      <c r="G3" s="477"/>
      <c r="H3" s="477"/>
      <c r="I3" s="477"/>
      <c r="J3" s="477"/>
      <c r="K3" s="477"/>
      <c r="L3" s="477"/>
      <c r="M3" s="477"/>
      <c r="N3" s="477"/>
      <c r="O3" s="503"/>
      <c r="P3" s="1330"/>
      <c r="Q3" s="1330"/>
    </row>
    <row r="4" spans="1:19" ht="20.25" customHeight="1">
      <c r="A4" s="477"/>
      <c r="B4" s="477"/>
      <c r="C4" s="477"/>
      <c r="D4" s="477"/>
      <c r="E4" s="477"/>
      <c r="F4" s="803" t="s">
        <v>757</v>
      </c>
      <c r="G4" s="1775" t="str">
        <f>表紙!E2</f>
        <v>公益財団法人　日本生命済生会　日本生命病院</v>
      </c>
      <c r="H4" s="1776"/>
      <c r="I4" s="1776"/>
      <c r="J4" s="1776"/>
      <c r="K4" s="1776"/>
      <c r="L4" s="1776"/>
      <c r="M4" s="1776"/>
      <c r="N4" s="1776"/>
      <c r="O4" s="1777"/>
      <c r="P4" s="1330"/>
      <c r="Q4" s="1330"/>
      <c r="R4" s="83"/>
    </row>
    <row r="5" spans="1:19" ht="15.75" customHeight="1">
      <c r="A5" s="477"/>
      <c r="B5" s="477"/>
      <c r="C5" s="477"/>
      <c r="D5" s="477"/>
      <c r="E5" s="477"/>
      <c r="F5" s="803"/>
      <c r="L5" s="51"/>
      <c r="M5" s="51"/>
      <c r="N5" s="651"/>
      <c r="O5" s="823" t="str">
        <f>別紙1未充足要件!E5</f>
        <v>令和６年９月１日時点</v>
      </c>
      <c r="P5" s="1330"/>
      <c r="Q5" s="1330"/>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5" customHeight="1" thickBot="1">
      <c r="A7" s="483">
        <v>1</v>
      </c>
      <c r="B7" s="1778" t="s">
        <v>1202</v>
      </c>
      <c r="C7" s="1779"/>
      <c r="D7" s="1779"/>
      <c r="E7" s="1779"/>
      <c r="F7" s="1779"/>
      <c r="G7" s="1779"/>
      <c r="H7" s="1780"/>
      <c r="I7" s="1575" t="s">
        <v>1805</v>
      </c>
      <c r="J7" s="1576"/>
      <c r="K7" s="1576"/>
      <c r="L7" s="1576"/>
      <c r="M7" s="1577"/>
      <c r="N7" s="51"/>
      <c r="O7" s="51"/>
      <c r="P7" s="51"/>
      <c r="Q7" s="477" t="str">
        <f>IF(I7="","×","○")</f>
        <v>○</v>
      </c>
      <c r="S7" s="163"/>
    </row>
    <row r="8" spans="1:19" ht="39" customHeight="1" thickBot="1">
      <c r="A8" s="483">
        <v>2</v>
      </c>
      <c r="B8" s="1778" t="s">
        <v>1203</v>
      </c>
      <c r="C8" s="1784"/>
      <c r="D8" s="1784"/>
      <c r="E8" s="1784"/>
      <c r="F8" s="1784"/>
      <c r="G8" s="1784"/>
      <c r="H8" s="1785"/>
      <c r="I8" s="1575" t="s">
        <v>1805</v>
      </c>
      <c r="J8" s="1576"/>
      <c r="K8" s="1576"/>
      <c r="L8" s="1576"/>
      <c r="M8" s="1577"/>
      <c r="N8" s="51"/>
      <c r="O8" s="51"/>
      <c r="P8" s="51"/>
      <c r="Q8" s="477" t="str">
        <f t="shared" ref="Q8:Q14" si="0">IF(I8="","×","○")</f>
        <v>○</v>
      </c>
      <c r="S8" s="163"/>
    </row>
    <row r="9" spans="1:19" ht="39" customHeight="1" thickBot="1">
      <c r="A9" s="483">
        <v>3</v>
      </c>
      <c r="B9" s="1778" t="s">
        <v>1204</v>
      </c>
      <c r="C9" s="1786"/>
      <c r="D9" s="1786"/>
      <c r="E9" s="1786"/>
      <c r="F9" s="1786"/>
      <c r="G9" s="1786"/>
      <c r="H9" s="1787"/>
      <c r="I9" s="1575" t="s">
        <v>1805</v>
      </c>
      <c r="J9" s="1576"/>
      <c r="K9" s="1576"/>
      <c r="L9" s="1576"/>
      <c r="M9" s="1577"/>
      <c r="N9" s="51"/>
      <c r="O9" s="51"/>
      <c r="P9" s="51"/>
      <c r="Q9" s="477" t="str">
        <f t="shared" si="0"/>
        <v>○</v>
      </c>
      <c r="S9" s="163"/>
    </row>
    <row r="10" spans="1:19" ht="39" customHeight="1" thickBot="1">
      <c r="A10" s="483">
        <v>4</v>
      </c>
      <c r="B10" s="1778" t="s">
        <v>1205</v>
      </c>
      <c r="C10" s="1779"/>
      <c r="D10" s="1779"/>
      <c r="E10" s="1779"/>
      <c r="F10" s="1779"/>
      <c r="G10" s="1779"/>
      <c r="H10" s="1780"/>
      <c r="I10" s="1575" t="s">
        <v>1805</v>
      </c>
      <c r="J10" s="1576"/>
      <c r="K10" s="1576"/>
      <c r="L10" s="1576"/>
      <c r="M10" s="1577"/>
      <c r="N10" s="51"/>
      <c r="O10" s="51"/>
      <c r="P10" s="51"/>
      <c r="Q10" s="477" t="str">
        <f t="shared" si="0"/>
        <v>○</v>
      </c>
      <c r="S10" s="163"/>
    </row>
    <row r="11" spans="1:19" ht="39" customHeight="1" thickBot="1">
      <c r="A11" s="483">
        <v>5</v>
      </c>
      <c r="B11" s="1778" t="s">
        <v>1206</v>
      </c>
      <c r="C11" s="1779"/>
      <c r="D11" s="1779"/>
      <c r="E11" s="1779"/>
      <c r="F11" s="1779"/>
      <c r="G11" s="1779"/>
      <c r="H11" s="1780"/>
      <c r="I11" s="1575" t="s">
        <v>1804</v>
      </c>
      <c r="J11" s="1576"/>
      <c r="K11" s="1576"/>
      <c r="L11" s="1576"/>
      <c r="M11" s="1577"/>
      <c r="N11" s="51"/>
      <c r="O11" s="51"/>
      <c r="P11" s="51"/>
      <c r="Q11" s="477" t="str">
        <f t="shared" si="0"/>
        <v>○</v>
      </c>
      <c r="S11" s="163"/>
    </row>
    <row r="12" spans="1:19" ht="39" customHeight="1" thickBot="1">
      <c r="A12" s="550">
        <v>6</v>
      </c>
      <c r="B12" s="1781" t="s">
        <v>1207</v>
      </c>
      <c r="C12" s="1782"/>
      <c r="D12" s="1782"/>
      <c r="E12" s="1782"/>
      <c r="F12" s="1782"/>
      <c r="G12" s="1782"/>
      <c r="H12" s="1783"/>
      <c r="I12" s="1575" t="s">
        <v>1805</v>
      </c>
      <c r="J12" s="1576"/>
      <c r="K12" s="1576"/>
      <c r="L12" s="1576"/>
      <c r="M12" s="1577"/>
      <c r="N12" s="51"/>
      <c r="O12" s="51"/>
      <c r="P12" s="51"/>
      <c r="Q12" s="477" t="str">
        <f t="shared" si="0"/>
        <v>○</v>
      </c>
      <c r="S12" s="163"/>
    </row>
    <row r="13" spans="1:19" ht="39" customHeight="1" thickBot="1">
      <c r="A13" s="483">
        <v>7</v>
      </c>
      <c r="B13" s="1778" t="s">
        <v>1208</v>
      </c>
      <c r="C13" s="1779"/>
      <c r="D13" s="1779"/>
      <c r="E13" s="1779"/>
      <c r="F13" s="1779"/>
      <c r="G13" s="1779"/>
      <c r="H13" s="1780"/>
      <c r="I13" s="1575" t="s">
        <v>1805</v>
      </c>
      <c r="J13" s="1576"/>
      <c r="K13" s="1576"/>
      <c r="L13" s="1576"/>
      <c r="M13" s="1577"/>
      <c r="N13" s="51"/>
      <c r="O13" s="51"/>
      <c r="P13" s="51"/>
      <c r="Q13" s="477" t="str">
        <f t="shared" si="0"/>
        <v>○</v>
      </c>
      <c r="S13" s="163"/>
    </row>
    <row r="14" spans="1:19" ht="39" customHeight="1" thickBot="1">
      <c r="A14" s="550">
        <v>8</v>
      </c>
      <c r="B14" s="1781" t="s">
        <v>1209</v>
      </c>
      <c r="C14" s="1782"/>
      <c r="D14" s="1782"/>
      <c r="E14" s="1782"/>
      <c r="F14" s="1782"/>
      <c r="G14" s="1782"/>
      <c r="H14" s="1783"/>
      <c r="I14" s="1575" t="s">
        <v>1804</v>
      </c>
      <c r="J14" s="1576"/>
      <c r="K14" s="1576"/>
      <c r="L14" s="1576"/>
      <c r="M14" s="1577"/>
      <c r="N14" s="51"/>
      <c r="O14" s="51"/>
      <c r="P14" s="51"/>
      <c r="Q14" s="477" t="str">
        <f t="shared" si="0"/>
        <v>○</v>
      </c>
      <c r="S14" s="175"/>
    </row>
    <row r="15" spans="1:19">
      <c r="A15" s="190"/>
    </row>
    <row r="16" spans="1:19">
      <c r="A16" s="190"/>
    </row>
    <row r="17" spans="1:1">
      <c r="A17" s="190"/>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F33" sqref="F33:H33"/>
    </sheetView>
  </sheetViews>
  <sheetFormatPr defaultColWidth="8.88671875" defaultRowHeight="13.2"/>
  <cols>
    <col min="1" max="1" width="3.6640625" customWidth="1"/>
    <col min="2" max="2" width="6.77734375" customWidth="1"/>
    <col min="3" max="4" width="15.6640625" customWidth="1"/>
    <col min="5" max="5" width="17.77734375" customWidth="1"/>
    <col min="6" max="6" width="11.88671875" customWidth="1"/>
    <col min="7" max="7" width="15.88671875" customWidth="1"/>
    <col min="8" max="8" width="23.6640625" customWidth="1"/>
    <col min="9" max="9" width="27.21875" customWidth="1"/>
    <col min="10" max="10" width="2.6640625" style="49" customWidth="1"/>
    <col min="11" max="11" width="6" style="49" hidden="1" customWidth="1"/>
    <col min="12" max="12" width="2.6640625" style="49" customWidth="1"/>
    <col min="13" max="13" width="80.6640625" style="332" customWidth="1"/>
  </cols>
  <sheetData>
    <row r="1" spans="1:13" ht="18" customHeight="1" thickBot="1">
      <c r="A1" s="1826" t="s">
        <v>1210</v>
      </c>
      <c r="B1" s="1826"/>
      <c r="C1" s="1826"/>
      <c r="D1" s="1826"/>
      <c r="E1" s="1826"/>
      <c r="F1" s="1826"/>
      <c r="G1" s="1826"/>
      <c r="H1" s="1826"/>
      <c r="I1" s="1826"/>
      <c r="L1" s="83"/>
    </row>
    <row r="2" spans="1:13" ht="24.9" customHeight="1" thickTop="1" thickBot="1">
      <c r="A2" s="1268" t="s">
        <v>865</v>
      </c>
      <c r="B2" s="1268"/>
      <c r="C2" s="1268"/>
      <c r="D2" s="1268"/>
      <c r="E2" s="1268"/>
      <c r="F2" s="1268"/>
      <c r="G2" s="1268"/>
      <c r="H2" s="1268"/>
      <c r="I2" s="427" t="str">
        <f>IF(COUNTIF(K6:K33,"×")&gt;=1,"未入力あり","入力済")</f>
        <v>入力済</v>
      </c>
      <c r="J2" s="1803"/>
      <c r="K2" s="428"/>
      <c r="L2" s="83"/>
    </row>
    <row r="3" spans="1:13" ht="15" thickTop="1">
      <c r="A3" s="826"/>
      <c r="B3" s="826"/>
      <c r="C3" s="826"/>
      <c r="D3" s="826"/>
      <c r="E3" s="826"/>
      <c r="F3" s="826"/>
      <c r="G3" s="826"/>
      <c r="H3" s="826"/>
      <c r="I3" s="827"/>
      <c r="J3" s="1803"/>
      <c r="K3" s="428"/>
      <c r="L3" s="83"/>
    </row>
    <row r="4" spans="1:13" s="830" customFormat="1" ht="20.100000000000001" customHeight="1">
      <c r="A4" s="828"/>
      <c r="B4" s="828"/>
      <c r="C4" s="828"/>
      <c r="D4" s="828"/>
      <c r="E4" s="828"/>
      <c r="F4" s="829" t="s">
        <v>1211</v>
      </c>
      <c r="G4" s="1827" t="str">
        <f>表紙!E2</f>
        <v>公益財団法人　日本生命済生会　日本生命病院</v>
      </c>
      <c r="H4" s="1828"/>
      <c r="I4" s="1829"/>
      <c r="J4" s="1803"/>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1805</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830" t="s">
        <v>1214</v>
      </c>
      <c r="D8" s="1830"/>
      <c r="E8" s="1830"/>
      <c r="F8" s="1830"/>
      <c r="G8" s="1830"/>
      <c r="H8" s="1830"/>
      <c r="I8" s="1830"/>
      <c r="M8" s="74"/>
    </row>
    <row r="9" spans="1:13" ht="50.25" customHeight="1">
      <c r="A9" s="834"/>
      <c r="B9" s="834"/>
      <c r="C9" s="1811" t="s">
        <v>1215</v>
      </c>
      <c r="D9" s="1811"/>
      <c r="E9" s="1811"/>
      <c r="F9" s="1811"/>
      <c r="G9" s="1811"/>
      <c r="H9" s="1811"/>
      <c r="I9" s="1811"/>
      <c r="M9" s="74"/>
    </row>
    <row r="10" spans="1:13" ht="25.5" customHeight="1">
      <c r="A10" s="834"/>
      <c r="B10" s="834"/>
      <c r="C10" s="1811" t="s">
        <v>1216</v>
      </c>
      <c r="D10" s="1811"/>
      <c r="E10" s="1811"/>
      <c r="F10" s="1811"/>
      <c r="G10" s="1811"/>
      <c r="H10" s="1811"/>
      <c r="I10" s="1811"/>
      <c r="M10" s="74"/>
    </row>
    <row r="11" spans="1:13" ht="30" customHeight="1">
      <c r="A11" s="834"/>
      <c r="B11" s="834"/>
      <c r="C11" s="1825" t="s">
        <v>1217</v>
      </c>
      <c r="D11" s="1825"/>
      <c r="E11" s="1825"/>
      <c r="F11" s="1825"/>
      <c r="G11" s="1825"/>
      <c r="H11" s="1825"/>
      <c r="I11" s="1825"/>
      <c r="M11" s="74"/>
    </row>
    <row r="12" spans="1:13" ht="18" customHeight="1">
      <c r="A12" s="1804"/>
      <c r="B12" s="1805"/>
      <c r="C12" s="1816" t="s">
        <v>1218</v>
      </c>
      <c r="D12" s="1818" t="s">
        <v>1172</v>
      </c>
      <c r="E12" s="1820" t="s">
        <v>1045</v>
      </c>
      <c r="F12" s="1822" t="s">
        <v>1219</v>
      </c>
      <c r="G12" s="1823"/>
      <c r="H12" s="1823"/>
      <c r="I12" s="1824"/>
      <c r="M12" s="74"/>
    </row>
    <row r="13" spans="1:13" ht="18" customHeight="1" thickBot="1">
      <c r="A13" s="1806"/>
      <c r="B13" s="1807"/>
      <c r="C13" s="1817"/>
      <c r="D13" s="1819"/>
      <c r="E13" s="1821"/>
      <c r="F13" s="1814" t="s">
        <v>1220</v>
      </c>
      <c r="G13" s="1815"/>
      <c r="H13" s="835" t="s">
        <v>1221</v>
      </c>
      <c r="I13" s="836" t="s">
        <v>1222</v>
      </c>
      <c r="M13" s="74"/>
    </row>
    <row r="14" spans="1:13" ht="27" customHeight="1" thickBot="1">
      <c r="A14" s="441">
        <v>1</v>
      </c>
      <c r="B14" s="837" t="s">
        <v>1223</v>
      </c>
      <c r="C14" s="103" t="s">
        <v>269</v>
      </c>
      <c r="D14" s="43" t="s">
        <v>1879</v>
      </c>
      <c r="E14" s="45" t="s">
        <v>1880</v>
      </c>
      <c r="F14" s="1791" t="s">
        <v>1876</v>
      </c>
      <c r="G14" s="1792"/>
      <c r="H14" s="107" t="s">
        <v>1877</v>
      </c>
      <c r="I14" s="1239">
        <v>44184</v>
      </c>
      <c r="J14" s="330"/>
      <c r="K14" s="49" t="str">
        <f>IF(AND(H6="はい",OR(C14="",D14="",E14="",F14="",H14="",I14="")),"×","○")</f>
        <v>○</v>
      </c>
      <c r="M14" s="74"/>
    </row>
    <row r="15" spans="1:13" ht="27" customHeight="1" thickBot="1">
      <c r="A15" s="441">
        <v>2</v>
      </c>
      <c r="B15" s="1808"/>
      <c r="C15" s="103" t="s">
        <v>1056</v>
      </c>
      <c r="D15" s="43" t="s">
        <v>1879</v>
      </c>
      <c r="E15" s="45" t="s">
        <v>1881</v>
      </c>
      <c r="F15" s="1791" t="s">
        <v>1876</v>
      </c>
      <c r="G15" s="1792"/>
      <c r="H15" s="107" t="s">
        <v>1878</v>
      </c>
      <c r="I15" s="1239">
        <v>43449</v>
      </c>
      <c r="M15" s="74"/>
    </row>
    <row r="16" spans="1:13" ht="27" customHeight="1" thickBot="1">
      <c r="A16" s="441">
        <v>3</v>
      </c>
      <c r="B16" s="1809"/>
      <c r="C16" s="103"/>
      <c r="D16" s="43"/>
      <c r="E16" s="45"/>
      <c r="F16" s="1791"/>
      <c r="G16" s="1792"/>
      <c r="H16" s="107"/>
      <c r="I16" s="109"/>
      <c r="M16" s="74"/>
    </row>
    <row r="17" spans="1:13" ht="27" customHeight="1" thickBot="1">
      <c r="A17" s="441">
        <v>4</v>
      </c>
      <c r="B17" s="1809"/>
      <c r="C17" s="103"/>
      <c r="D17" s="43"/>
      <c r="E17" s="45"/>
      <c r="F17" s="1791"/>
      <c r="G17" s="1792"/>
      <c r="H17" s="107"/>
      <c r="I17" s="109"/>
      <c r="M17" s="74"/>
    </row>
    <row r="18" spans="1:13" ht="27" customHeight="1" thickBot="1">
      <c r="A18" s="441">
        <v>5</v>
      </c>
      <c r="B18" s="1809"/>
      <c r="C18" s="103"/>
      <c r="D18" s="43"/>
      <c r="E18" s="45"/>
      <c r="F18" s="1791"/>
      <c r="G18" s="1792"/>
      <c r="H18" s="107"/>
      <c r="I18" s="109"/>
      <c r="M18" s="74"/>
    </row>
    <row r="19" spans="1:13" ht="27" customHeight="1" thickBot="1">
      <c r="A19" s="441">
        <v>6</v>
      </c>
      <c r="B19" s="1809"/>
      <c r="C19" s="103"/>
      <c r="D19" s="43"/>
      <c r="E19" s="45"/>
      <c r="F19" s="1791"/>
      <c r="G19" s="1792"/>
      <c r="H19" s="107"/>
      <c r="I19" s="109"/>
      <c r="M19" s="74"/>
    </row>
    <row r="20" spans="1:13" ht="27" customHeight="1" thickBot="1">
      <c r="A20" s="441">
        <v>7</v>
      </c>
      <c r="B20" s="1809"/>
      <c r="C20" s="103"/>
      <c r="D20" s="43"/>
      <c r="E20" s="45"/>
      <c r="F20" s="1791"/>
      <c r="G20" s="1792"/>
      <c r="H20" s="107"/>
      <c r="I20" s="109"/>
      <c r="M20" s="74"/>
    </row>
    <row r="21" spans="1:13" ht="27" customHeight="1" thickBot="1">
      <c r="A21" s="441">
        <v>8</v>
      </c>
      <c r="B21" s="1809"/>
      <c r="C21" s="103"/>
      <c r="D21" s="43"/>
      <c r="E21" s="45"/>
      <c r="F21" s="1791"/>
      <c r="G21" s="1792"/>
      <c r="H21" s="107"/>
      <c r="I21" s="109"/>
      <c r="M21" s="74"/>
    </row>
    <row r="22" spans="1:13" ht="27" customHeight="1" thickBot="1">
      <c r="A22" s="441">
        <v>9</v>
      </c>
      <c r="B22" s="1809"/>
      <c r="C22" s="103"/>
      <c r="D22" s="43"/>
      <c r="E22" s="45"/>
      <c r="F22" s="1791"/>
      <c r="G22" s="1792"/>
      <c r="H22" s="107"/>
      <c r="I22" s="109"/>
      <c r="M22" s="74"/>
    </row>
    <row r="23" spans="1:13" ht="27" customHeight="1" thickBot="1">
      <c r="A23" s="441">
        <v>10</v>
      </c>
      <c r="B23" s="1810"/>
      <c r="C23" s="103"/>
      <c r="D23" s="43"/>
      <c r="E23" s="45"/>
      <c r="F23" s="1791"/>
      <c r="G23" s="1792"/>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793" t="s">
        <v>1224</v>
      </c>
      <c r="B26" s="1794"/>
      <c r="C26" s="1794"/>
      <c r="D26" s="1794"/>
      <c r="E26" s="1794"/>
      <c r="F26" s="1794"/>
      <c r="G26" s="1794"/>
      <c r="H26" s="1794"/>
      <c r="I26" s="49"/>
      <c r="L26" s="838"/>
      <c r="M26" s="176"/>
    </row>
    <row r="27" spans="1:13">
      <c r="A27" s="49"/>
      <c r="B27" s="49"/>
      <c r="C27" s="49"/>
      <c r="D27" s="49"/>
      <c r="E27" s="49"/>
      <c r="F27" s="49"/>
      <c r="G27" s="49"/>
      <c r="H27" s="49"/>
      <c r="I27" s="49"/>
      <c r="L27" s="838"/>
      <c r="M27" s="74"/>
    </row>
    <row r="28" spans="1:13">
      <c r="A28" s="1799"/>
      <c r="B28" s="1799" t="s">
        <v>1225</v>
      </c>
      <c r="C28" s="1799"/>
      <c r="D28" s="1799"/>
      <c r="E28" s="1799"/>
      <c r="F28" s="1799" t="s">
        <v>1226</v>
      </c>
      <c r="G28" s="1799"/>
      <c r="H28" s="1799"/>
      <c r="I28" s="1812" t="s">
        <v>1227</v>
      </c>
      <c r="J28" s="839"/>
      <c r="L28" s="838"/>
      <c r="M28" s="74"/>
    </row>
    <row r="29" spans="1:13">
      <c r="A29" s="1799"/>
      <c r="B29" s="1799"/>
      <c r="C29" s="1799"/>
      <c r="D29" s="1799"/>
      <c r="E29" s="1799"/>
      <c r="F29" s="1799"/>
      <c r="G29" s="1799"/>
      <c r="H29" s="1799"/>
      <c r="I29" s="1813"/>
      <c r="J29" s="839"/>
      <c r="L29" s="838"/>
      <c r="M29" s="74"/>
    </row>
    <row r="30" spans="1:13" ht="33" customHeight="1">
      <c r="A30" s="57" t="s">
        <v>761</v>
      </c>
      <c r="B30" s="1801" t="s">
        <v>1228</v>
      </c>
      <c r="C30" s="1802"/>
      <c r="D30" s="1802"/>
      <c r="E30" s="1802"/>
      <c r="F30" s="1788" t="s">
        <v>1229</v>
      </c>
      <c r="G30" s="1789"/>
      <c r="H30" s="1790"/>
      <c r="I30" s="840" t="s">
        <v>1230</v>
      </c>
      <c r="J30" s="839"/>
      <c r="L30" s="838"/>
      <c r="M30" s="74"/>
    </row>
    <row r="31" spans="1:13" ht="33" customHeight="1">
      <c r="A31" s="57" t="s">
        <v>761</v>
      </c>
      <c r="B31" s="1800" t="s">
        <v>1231</v>
      </c>
      <c r="C31" s="1789"/>
      <c r="D31" s="1789"/>
      <c r="E31" s="1790"/>
      <c r="F31" s="1788" t="s">
        <v>1232</v>
      </c>
      <c r="G31" s="1789"/>
      <c r="H31" s="1790"/>
      <c r="I31" s="840" t="s">
        <v>1233</v>
      </c>
      <c r="J31" s="839"/>
      <c r="L31" s="838"/>
      <c r="M31" s="74"/>
    </row>
    <row r="32" spans="1:13" ht="33" customHeight="1">
      <c r="A32" s="57" t="s">
        <v>761</v>
      </c>
      <c r="B32" s="1801" t="s">
        <v>1234</v>
      </c>
      <c r="C32" s="1802"/>
      <c r="D32" s="1802"/>
      <c r="E32" s="1802"/>
      <c r="F32" s="1788" t="s">
        <v>1235</v>
      </c>
      <c r="G32" s="1789"/>
      <c r="H32" s="1790"/>
      <c r="I32" s="840" t="s">
        <v>1233</v>
      </c>
      <c r="J32" s="839"/>
      <c r="L32" s="838"/>
      <c r="M32" s="74"/>
    </row>
    <row r="33" spans="1:13" ht="33" customHeight="1">
      <c r="A33" s="841">
        <v>1</v>
      </c>
      <c r="B33" s="1795" t="s">
        <v>1882</v>
      </c>
      <c r="C33" s="1796"/>
      <c r="D33" s="1796"/>
      <c r="E33" s="1797"/>
      <c r="F33" s="1798" t="s">
        <v>1883</v>
      </c>
      <c r="G33" s="1798"/>
      <c r="H33" s="1798"/>
      <c r="I33" s="108" t="s">
        <v>1884</v>
      </c>
      <c r="J33" s="839"/>
      <c r="K33" s="49" t="str">
        <f>IF(AND(B33&lt;&gt;"",F33&lt;&gt;"",I33&lt;&gt;""),"○","×")</f>
        <v>○</v>
      </c>
      <c r="L33" s="838"/>
      <c r="M33" s="163"/>
    </row>
    <row r="34" spans="1:13" ht="33" customHeight="1">
      <c r="A34" s="841">
        <v>2</v>
      </c>
      <c r="B34" s="1795"/>
      <c r="C34" s="1796"/>
      <c r="D34" s="1796"/>
      <c r="E34" s="1797"/>
      <c r="F34" s="1798"/>
      <c r="G34" s="1798"/>
      <c r="H34" s="1798"/>
      <c r="I34" s="108"/>
      <c r="J34" s="839"/>
      <c r="K34" s="51"/>
      <c r="L34" s="838"/>
      <c r="M34" s="74"/>
    </row>
    <row r="35" spans="1:13" ht="33" customHeight="1">
      <c r="A35" s="841">
        <v>3</v>
      </c>
      <c r="B35" s="1795"/>
      <c r="C35" s="1796"/>
      <c r="D35" s="1796"/>
      <c r="E35" s="1797"/>
      <c r="F35" s="1798"/>
      <c r="G35" s="1798"/>
      <c r="H35" s="1798"/>
      <c r="I35" s="108"/>
      <c r="J35" s="839"/>
      <c r="K35" s="51"/>
      <c r="L35" s="838"/>
      <c r="M35" s="74"/>
    </row>
    <row r="36" spans="1:13" ht="33" customHeight="1">
      <c r="A36" s="841">
        <v>4</v>
      </c>
      <c r="B36" s="1795"/>
      <c r="C36" s="1796"/>
      <c r="D36" s="1796"/>
      <c r="E36" s="1797"/>
      <c r="F36" s="1798"/>
      <c r="G36" s="1798"/>
      <c r="H36" s="1798"/>
      <c r="I36" s="108"/>
      <c r="J36" s="839"/>
      <c r="K36" s="51"/>
      <c r="L36" s="838"/>
      <c r="M36" s="74"/>
    </row>
    <row r="37" spans="1:13" ht="33" customHeight="1">
      <c r="A37" s="841">
        <v>5</v>
      </c>
      <c r="B37" s="1795"/>
      <c r="C37" s="1796"/>
      <c r="D37" s="1796"/>
      <c r="E37" s="1797"/>
      <c r="F37" s="1798"/>
      <c r="G37" s="1798"/>
      <c r="H37" s="1798"/>
      <c r="I37" s="108"/>
      <c r="J37" s="839"/>
      <c r="K37" s="51"/>
      <c r="L37" s="838"/>
      <c r="M37" s="15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39" sqref="B39:I43"/>
    </sheetView>
  </sheetViews>
  <sheetFormatPr defaultColWidth="9" defaultRowHeight="13.2"/>
  <cols>
    <col min="1" max="1" width="3.33203125" customWidth="1"/>
    <col min="2" max="2" width="4.33203125" customWidth="1"/>
    <col min="3" max="6" width="15.109375" customWidth="1"/>
    <col min="7" max="7" width="41.109375" customWidth="1"/>
    <col min="8" max="8" width="15.109375" customWidth="1"/>
    <col min="9" max="9" width="21.6640625" customWidth="1"/>
    <col min="10" max="10" width="1.6640625" customWidth="1"/>
    <col min="11" max="11" width="6.88671875" hidden="1" customWidth="1"/>
    <col min="12" max="12" width="3.44140625" customWidth="1"/>
    <col min="13" max="13" width="82.77734375" style="1" bestFit="1" customWidth="1"/>
    <col min="14" max="15" width="0" hidden="1" customWidth="1"/>
  </cols>
  <sheetData>
    <row r="1" spans="1:21" ht="30" customHeight="1" thickBot="1">
      <c r="A1" s="1834" t="s">
        <v>1237</v>
      </c>
      <c r="B1" s="1834"/>
      <c r="C1" s="1834"/>
      <c r="D1" s="1834"/>
      <c r="E1" s="1834"/>
      <c r="F1" s="1834"/>
      <c r="G1" s="1834"/>
      <c r="H1" s="1834"/>
      <c r="I1" s="1834"/>
      <c r="J1" s="1834"/>
    </row>
    <row r="2" spans="1:21" ht="24.9" customHeight="1" thickBot="1">
      <c r="B2" s="1268" t="s">
        <v>1238</v>
      </c>
      <c r="C2" s="1268"/>
      <c r="D2" s="1268"/>
      <c r="E2" s="1268"/>
      <c r="F2" s="1268"/>
      <c r="G2" s="1268"/>
      <c r="H2" s="1268"/>
      <c r="I2" s="847" t="str">
        <f>IF(COUNTIF(K32:K36,"×")=0,"入力済","未入力あり")</f>
        <v>入力済</v>
      </c>
      <c r="M2" s="177" t="s">
        <v>234</v>
      </c>
    </row>
    <row r="3" spans="1:21" ht="24.9" customHeight="1">
      <c r="B3" s="1835"/>
      <c r="C3" s="1835"/>
      <c r="D3" s="1835"/>
      <c r="E3" s="1835"/>
      <c r="F3" s="1835"/>
      <c r="G3" s="1835"/>
      <c r="H3" s="1835"/>
      <c r="I3" s="426"/>
      <c r="M3" s="74"/>
    </row>
    <row r="4" spans="1:21" ht="24.9" customHeight="1">
      <c r="G4" s="846" t="s">
        <v>757</v>
      </c>
      <c r="H4" s="1325" t="str">
        <f>表紙!E2</f>
        <v>公益財団法人　日本生命済生会　日本生命病院</v>
      </c>
      <c r="I4" s="1326"/>
      <c r="M4" s="74"/>
    </row>
    <row r="5" spans="1:21" ht="20.100000000000001" customHeight="1">
      <c r="G5" s="1145" t="s">
        <v>911</v>
      </c>
      <c r="H5" t="str">
        <f>別紙1未充足要件!E5</f>
        <v>令和６年９月１日時点</v>
      </c>
      <c r="M5" s="154"/>
    </row>
    <row r="6" spans="1:21" ht="11.25" customHeight="1">
      <c r="G6" s="568"/>
      <c r="M6" s="74"/>
    </row>
    <row r="7" spans="1:21" ht="9.9" customHeight="1">
      <c r="G7" s="568"/>
      <c r="M7" s="74"/>
    </row>
    <row r="8" spans="1:21" ht="20.100000000000001" customHeight="1">
      <c r="A8" s="1836" t="s">
        <v>1239</v>
      </c>
      <c r="B8" s="1836"/>
      <c r="C8" s="1836"/>
      <c r="D8" s="1836"/>
      <c r="E8" s="1836"/>
      <c r="F8" s="1836"/>
      <c r="G8" s="1836"/>
      <c r="H8" s="1836"/>
      <c r="I8" s="1836"/>
      <c r="J8" s="1836"/>
      <c r="M8" s="154"/>
    </row>
    <row r="9" spans="1:21" ht="20.100000000000001" customHeight="1">
      <c r="A9" s="1836" t="s">
        <v>1240</v>
      </c>
      <c r="B9" s="1836"/>
      <c r="C9" s="1836"/>
      <c r="D9" s="1836"/>
      <c r="E9" s="1836"/>
      <c r="F9" s="1836"/>
      <c r="G9" s="1836"/>
      <c r="H9" s="1836"/>
      <c r="I9" s="1836"/>
      <c r="J9" s="1836"/>
      <c r="M9" s="74"/>
    </row>
    <row r="10" spans="1:21" ht="20.100000000000001" customHeight="1">
      <c r="A10" s="1"/>
      <c r="B10" s="1"/>
      <c r="C10" s="1"/>
      <c r="D10" s="1"/>
      <c r="E10" s="1"/>
      <c r="F10" s="1"/>
      <c r="G10" s="1"/>
      <c r="H10" s="1"/>
      <c r="I10" s="1"/>
      <c r="J10" s="1"/>
      <c r="M10" s="74"/>
    </row>
    <row r="11" spans="1:21" s="547" customFormat="1" ht="25.5" customHeight="1">
      <c r="A11" s="1837" t="s">
        <v>1241</v>
      </c>
      <c r="B11" s="1837"/>
      <c r="C11" s="1837"/>
      <c r="D11" s="1837"/>
      <c r="E11" s="1837"/>
      <c r="F11" s="1837"/>
      <c r="G11" s="1837"/>
      <c r="H11" s="1837"/>
      <c r="I11" s="1837"/>
      <c r="J11" s="1837"/>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36" t="s">
        <v>1243</v>
      </c>
      <c r="C13" s="1836"/>
      <c r="D13" s="1836"/>
      <c r="E13" s="1836"/>
      <c r="F13" s="1836"/>
      <c r="G13" s="1836"/>
      <c r="H13" s="1836"/>
      <c r="I13" s="1836"/>
      <c r="J13" s="1836"/>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 customHeight="1">
      <c r="B15" s="842"/>
      <c r="C15" s="843" t="s">
        <v>1218</v>
      </c>
      <c r="D15" s="850" t="s">
        <v>1236</v>
      </c>
      <c r="E15" s="1838" t="s">
        <v>1244</v>
      </c>
      <c r="F15" s="1839"/>
      <c r="G15" s="1839"/>
      <c r="H15" s="1839"/>
      <c r="I15" s="1840"/>
      <c r="K15" s="851"/>
      <c r="L15" s="848"/>
      <c r="M15" s="74"/>
      <c r="N15" s="848"/>
      <c r="O15" s="848"/>
      <c r="P15" s="848"/>
      <c r="Q15" s="848"/>
      <c r="R15" s="848"/>
      <c r="S15" s="848"/>
      <c r="T15" s="848"/>
      <c r="U15" s="848"/>
    </row>
    <row r="16" spans="1:21" s="547" customFormat="1" ht="27.9" customHeight="1">
      <c r="B16" s="844" t="s">
        <v>761</v>
      </c>
      <c r="C16" s="852" t="s">
        <v>1245</v>
      </c>
      <c r="D16" s="853">
        <v>2</v>
      </c>
      <c r="E16" s="1841" t="s">
        <v>1246</v>
      </c>
      <c r="F16" s="1842"/>
      <c r="G16" s="1842"/>
      <c r="H16" s="1842"/>
      <c r="I16" s="1843"/>
      <c r="K16" s="848"/>
      <c r="L16" s="848"/>
      <c r="M16" s="74"/>
      <c r="N16" s="848"/>
      <c r="O16" s="848"/>
      <c r="P16" s="848"/>
      <c r="Q16" s="848"/>
      <c r="R16" s="848"/>
      <c r="S16" s="848"/>
      <c r="T16" s="848"/>
      <c r="U16" s="848"/>
    </row>
    <row r="17" spans="1:21" s="547" customFormat="1" ht="27.9" customHeight="1">
      <c r="B17" s="844">
        <v>1</v>
      </c>
      <c r="C17" s="96" t="s">
        <v>1864</v>
      </c>
      <c r="D17" s="845">
        <v>1</v>
      </c>
      <c r="E17" s="1844" t="s">
        <v>1870</v>
      </c>
      <c r="F17" s="1845"/>
      <c r="G17" s="1845"/>
      <c r="H17" s="1845"/>
      <c r="I17" s="1846"/>
      <c r="K17" s="848"/>
      <c r="L17" s="848"/>
      <c r="M17" s="74"/>
      <c r="N17" s="372">
        <v>0</v>
      </c>
      <c r="O17" s="373">
        <v>20</v>
      </c>
      <c r="P17" s="848"/>
      <c r="Q17" s="848"/>
      <c r="R17" s="848"/>
      <c r="S17" s="848"/>
      <c r="T17" s="848"/>
      <c r="U17" s="848"/>
    </row>
    <row r="18" spans="1:21" s="547" customFormat="1" ht="27.9" customHeight="1">
      <c r="B18" s="844">
        <v>2</v>
      </c>
      <c r="C18" s="86" t="s">
        <v>1865</v>
      </c>
      <c r="D18" s="845">
        <v>4</v>
      </c>
      <c r="E18" s="1831" t="s">
        <v>1871</v>
      </c>
      <c r="F18" s="1832"/>
      <c r="G18" s="1832"/>
      <c r="H18" s="1832"/>
      <c r="I18" s="1833"/>
      <c r="K18" s="848"/>
      <c r="L18" s="848"/>
      <c r="M18" s="74"/>
      <c r="N18" s="372">
        <v>0</v>
      </c>
      <c r="O18" s="373">
        <v>20</v>
      </c>
      <c r="P18" s="848"/>
      <c r="Q18" s="848"/>
      <c r="R18" s="848"/>
      <c r="S18" s="848"/>
      <c r="T18" s="848"/>
      <c r="U18" s="848"/>
    </row>
    <row r="19" spans="1:21" s="547" customFormat="1" ht="27.9" customHeight="1">
      <c r="B19" s="854">
        <v>3</v>
      </c>
      <c r="C19" s="86" t="s">
        <v>1866</v>
      </c>
      <c r="D19" s="845">
        <v>1</v>
      </c>
      <c r="E19" s="1849"/>
      <c r="F19" s="1845"/>
      <c r="G19" s="1845"/>
      <c r="H19" s="1845"/>
      <c r="I19" s="1846"/>
      <c r="K19" s="851"/>
      <c r="L19" s="848"/>
      <c r="M19" s="74"/>
      <c r="N19" s="372">
        <v>0</v>
      </c>
      <c r="O19" s="373">
        <v>20</v>
      </c>
      <c r="P19" s="848"/>
      <c r="Q19" s="848"/>
      <c r="R19" s="848"/>
      <c r="S19" s="848"/>
      <c r="T19" s="848"/>
      <c r="U19" s="848"/>
    </row>
    <row r="20" spans="1:21" s="547" customFormat="1" ht="27.9" customHeight="1">
      <c r="B20" s="844">
        <v>4</v>
      </c>
      <c r="C20" s="86" t="s">
        <v>1867</v>
      </c>
      <c r="D20" s="845">
        <v>1</v>
      </c>
      <c r="E20" s="1849"/>
      <c r="F20" s="1845"/>
      <c r="G20" s="1845"/>
      <c r="H20" s="1845"/>
      <c r="I20" s="1846"/>
      <c r="K20" s="848"/>
      <c r="L20" s="848"/>
      <c r="M20" s="74"/>
      <c r="N20" s="372">
        <v>0</v>
      </c>
      <c r="O20" s="373">
        <v>20</v>
      </c>
      <c r="P20" s="848"/>
      <c r="Q20" s="848"/>
      <c r="R20" s="848"/>
      <c r="S20" s="848"/>
      <c r="T20" s="848"/>
      <c r="U20" s="848"/>
    </row>
    <row r="21" spans="1:21" s="547" customFormat="1" ht="27.9" customHeight="1">
      <c r="B21" s="844">
        <v>5</v>
      </c>
      <c r="C21" s="86" t="s">
        <v>1868</v>
      </c>
      <c r="D21" s="845">
        <v>1</v>
      </c>
      <c r="E21" s="1849"/>
      <c r="F21" s="1845"/>
      <c r="G21" s="1845"/>
      <c r="H21" s="1845"/>
      <c r="I21" s="1846"/>
      <c r="K21" s="848"/>
      <c r="L21" s="848"/>
      <c r="M21" s="74"/>
      <c r="N21" s="372">
        <v>0</v>
      </c>
      <c r="O21" s="373">
        <v>20</v>
      </c>
      <c r="P21" s="848"/>
      <c r="Q21" s="848"/>
      <c r="R21" s="848"/>
      <c r="S21" s="848"/>
      <c r="T21" s="848"/>
      <c r="U21" s="848"/>
    </row>
    <row r="22" spans="1:21" s="547" customFormat="1" ht="27.9" customHeight="1">
      <c r="B22" s="844">
        <v>6</v>
      </c>
      <c r="C22" s="86" t="s">
        <v>1869</v>
      </c>
      <c r="D22" s="845">
        <v>1</v>
      </c>
      <c r="E22" s="1849" t="s">
        <v>1872</v>
      </c>
      <c r="F22" s="1845"/>
      <c r="G22" s="1845"/>
      <c r="H22" s="1845"/>
      <c r="I22" s="1846"/>
      <c r="K22" s="848"/>
      <c r="L22" s="848"/>
      <c r="M22" s="74"/>
      <c r="N22" s="372">
        <v>0</v>
      </c>
      <c r="O22" s="373">
        <v>20</v>
      </c>
      <c r="P22" s="848"/>
      <c r="Q22" s="848"/>
      <c r="R22" s="848"/>
      <c r="S22" s="848"/>
      <c r="T22" s="848"/>
      <c r="U22" s="848"/>
    </row>
    <row r="23" spans="1:21" s="547" customFormat="1" ht="27.9" customHeight="1">
      <c r="B23" s="844">
        <v>7</v>
      </c>
      <c r="C23" s="86"/>
      <c r="D23" s="845"/>
      <c r="E23" s="1849"/>
      <c r="F23" s="1845"/>
      <c r="G23" s="1845"/>
      <c r="H23" s="1845"/>
      <c r="I23" s="1846"/>
      <c r="K23" s="851"/>
      <c r="L23" s="848"/>
      <c r="M23" s="74"/>
      <c r="N23" s="372">
        <v>0</v>
      </c>
      <c r="O23" s="373">
        <v>20</v>
      </c>
      <c r="P23" s="848"/>
      <c r="Q23" s="848"/>
      <c r="R23" s="848"/>
      <c r="S23" s="848"/>
      <c r="T23" s="848"/>
      <c r="U23" s="848"/>
    </row>
    <row r="24" spans="1:21" s="547" customFormat="1" ht="27.9" customHeight="1">
      <c r="B24" s="844">
        <v>8</v>
      </c>
      <c r="C24" s="86"/>
      <c r="D24" s="845"/>
      <c r="E24" s="1849"/>
      <c r="F24" s="1845"/>
      <c r="G24" s="1845"/>
      <c r="H24" s="1845"/>
      <c r="I24" s="1846"/>
      <c r="K24" s="848"/>
      <c r="L24" s="848"/>
      <c r="M24" s="74"/>
      <c r="N24" s="372">
        <v>0</v>
      </c>
      <c r="O24" s="373">
        <v>20</v>
      </c>
      <c r="P24" s="848"/>
      <c r="Q24" s="848"/>
      <c r="R24" s="848"/>
      <c r="S24" s="848"/>
      <c r="T24" s="848"/>
      <c r="U24" s="848"/>
    </row>
    <row r="25" spans="1:21" s="547" customFormat="1" ht="27.9" customHeight="1">
      <c r="B25" s="844">
        <v>9</v>
      </c>
      <c r="C25" s="86"/>
      <c r="D25" s="845"/>
      <c r="E25" s="1849"/>
      <c r="F25" s="1845"/>
      <c r="G25" s="1845"/>
      <c r="H25" s="1845"/>
      <c r="I25" s="1846"/>
      <c r="K25" s="848"/>
      <c r="L25" s="848"/>
      <c r="M25" s="74"/>
      <c r="N25" s="372">
        <v>0</v>
      </c>
      <c r="O25" s="373">
        <v>20</v>
      </c>
      <c r="P25" s="848"/>
      <c r="Q25" s="848"/>
      <c r="R25" s="848"/>
      <c r="S25" s="848"/>
      <c r="T25" s="848"/>
      <c r="U25" s="848"/>
    </row>
    <row r="26" spans="1:21" s="547" customFormat="1" ht="27.9" customHeight="1">
      <c r="B26" s="844">
        <v>10</v>
      </c>
      <c r="C26" s="86"/>
      <c r="D26" s="845"/>
      <c r="E26" s="1849"/>
      <c r="F26" s="1845"/>
      <c r="G26" s="1845"/>
      <c r="H26" s="1845"/>
      <c r="I26" s="1846"/>
      <c r="K26" s="848"/>
      <c r="L26" s="848"/>
      <c r="M26" s="74"/>
      <c r="N26" s="372">
        <v>0</v>
      </c>
      <c r="O26" s="373">
        <v>20</v>
      </c>
      <c r="P26" s="848"/>
      <c r="Q26" s="848"/>
      <c r="R26" s="848"/>
      <c r="S26" s="848"/>
      <c r="T26" s="848"/>
      <c r="U26" s="848"/>
    </row>
    <row r="27" spans="1:21" s="547" customFormat="1" ht="27.9" customHeight="1">
      <c r="B27" s="844">
        <v>11</v>
      </c>
      <c r="C27" s="86"/>
      <c r="D27" s="845"/>
      <c r="E27" s="1849"/>
      <c r="F27" s="1845"/>
      <c r="G27" s="1845"/>
      <c r="H27" s="1845"/>
      <c r="I27" s="1846"/>
      <c r="K27" s="851"/>
      <c r="L27" s="848"/>
      <c r="M27" s="74"/>
      <c r="N27" s="372">
        <v>0</v>
      </c>
      <c r="O27" s="373">
        <v>20</v>
      </c>
      <c r="P27" s="848"/>
      <c r="Q27" s="848"/>
      <c r="R27" s="848"/>
      <c r="S27" s="848"/>
      <c r="T27" s="848"/>
      <c r="U27" s="848"/>
    </row>
    <row r="28" spans="1:21" s="547" customFormat="1" ht="27.9" customHeight="1">
      <c r="B28" s="844">
        <v>12</v>
      </c>
      <c r="C28" s="86"/>
      <c r="D28" s="845"/>
      <c r="E28" s="1849"/>
      <c r="F28" s="1845"/>
      <c r="G28" s="1845"/>
      <c r="H28" s="1845"/>
      <c r="I28" s="1846"/>
      <c r="K28" s="848"/>
      <c r="L28" s="855"/>
      <c r="M28" s="74"/>
      <c r="N28" s="372">
        <v>0</v>
      </c>
      <c r="O28" s="373">
        <v>20</v>
      </c>
      <c r="P28" s="856"/>
      <c r="Q28" s="856"/>
      <c r="R28" s="856"/>
      <c r="S28" s="856"/>
      <c r="T28" s="856"/>
      <c r="U28" s="856"/>
    </row>
    <row r="29" spans="1:21" s="547" customFormat="1" ht="27.9" customHeight="1">
      <c r="B29" s="844">
        <v>13</v>
      </c>
      <c r="C29" s="86"/>
      <c r="D29" s="845"/>
      <c r="E29" s="1849"/>
      <c r="F29" s="1845"/>
      <c r="G29" s="1845"/>
      <c r="H29" s="1845"/>
      <c r="I29" s="1846"/>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47" t="s">
        <v>1248</v>
      </c>
      <c r="C32" s="1847"/>
      <c r="D32" s="1847"/>
      <c r="E32" s="1847"/>
      <c r="F32" s="1847"/>
      <c r="G32" s="1847"/>
      <c r="H32" s="1848" t="s">
        <v>1804</v>
      </c>
      <c r="I32" s="1848"/>
      <c r="K32" s="8" t="str">
        <f>IF(H32="","×","○")</f>
        <v>○</v>
      </c>
      <c r="M32" s="74"/>
      <c r="N32" s="856"/>
      <c r="O32" s="856"/>
      <c r="P32" s="856"/>
      <c r="Q32" s="856"/>
      <c r="R32" s="856"/>
      <c r="S32" s="856"/>
      <c r="T32" s="856"/>
      <c r="U32" s="856"/>
    </row>
    <row r="33" spans="1:21" s="8" customFormat="1" ht="33" customHeight="1">
      <c r="A33" s="858"/>
      <c r="B33" s="1847" t="s">
        <v>1249</v>
      </c>
      <c r="C33" s="1847"/>
      <c r="D33" s="1847"/>
      <c r="E33" s="1847"/>
      <c r="F33" s="1847"/>
      <c r="G33" s="1847"/>
      <c r="H33" s="1850" t="s">
        <v>1873</v>
      </c>
      <c r="I33" s="1851"/>
      <c r="K33" s="8" t="str">
        <f t="shared" ref="K33:K36" si="0">IF(H33="","×","○")</f>
        <v>○</v>
      </c>
      <c r="L33" s="859"/>
      <c r="M33" s="74"/>
      <c r="N33" s="859"/>
      <c r="O33" s="859"/>
      <c r="P33" s="859"/>
      <c r="Q33" s="859"/>
      <c r="R33" s="859"/>
      <c r="S33" s="859"/>
      <c r="T33" s="859"/>
      <c r="U33" s="859"/>
    </row>
    <row r="34" spans="1:21" s="8" customFormat="1" ht="33" customHeight="1">
      <c r="A34" s="858"/>
      <c r="B34" s="1847" t="s">
        <v>1250</v>
      </c>
      <c r="C34" s="1847"/>
      <c r="D34" s="1847"/>
      <c r="E34" s="1847"/>
      <c r="F34" s="1847"/>
      <c r="G34" s="1847"/>
      <c r="H34" s="1850" t="s">
        <v>1873</v>
      </c>
      <c r="I34" s="1851"/>
      <c r="K34" s="8" t="str">
        <f t="shared" si="0"/>
        <v>○</v>
      </c>
      <c r="L34" s="859"/>
      <c r="M34" s="74"/>
      <c r="N34" s="859"/>
      <c r="O34" s="859"/>
      <c r="P34" s="859"/>
      <c r="Q34" s="859"/>
      <c r="R34" s="859"/>
      <c r="S34" s="859"/>
      <c r="T34" s="859"/>
      <c r="U34" s="859"/>
    </row>
    <row r="35" spans="1:21" s="8" customFormat="1" ht="33" customHeight="1">
      <c r="A35" s="858"/>
      <c r="B35" s="1847" t="s">
        <v>1251</v>
      </c>
      <c r="C35" s="1847"/>
      <c r="D35" s="1847"/>
      <c r="E35" s="1847"/>
      <c r="F35" s="1847"/>
      <c r="G35" s="1847"/>
      <c r="H35" s="1850" t="s">
        <v>1874</v>
      </c>
      <c r="I35" s="1851"/>
      <c r="K35" s="8" t="str">
        <f t="shared" si="0"/>
        <v>○</v>
      </c>
      <c r="L35" s="859"/>
      <c r="M35" s="74"/>
      <c r="N35" s="859"/>
      <c r="O35" s="859"/>
      <c r="P35" s="859"/>
      <c r="Q35" s="859"/>
      <c r="R35" s="859"/>
      <c r="S35" s="859"/>
      <c r="T35" s="859"/>
      <c r="U35" s="859"/>
    </row>
    <row r="36" spans="1:21" s="8" customFormat="1" ht="33" customHeight="1">
      <c r="A36" s="858"/>
      <c r="B36" s="1847" t="s">
        <v>1252</v>
      </c>
      <c r="C36" s="1847"/>
      <c r="D36" s="1847"/>
      <c r="E36" s="1847"/>
      <c r="F36" s="1847"/>
      <c r="G36" s="1847"/>
      <c r="H36" s="1850" t="s">
        <v>1874</v>
      </c>
      <c r="I36" s="1851"/>
      <c r="K36" s="8" t="str">
        <f t="shared" si="0"/>
        <v>○</v>
      </c>
      <c r="L36" s="859"/>
      <c r="M36" s="74"/>
      <c r="N36" s="859"/>
      <c r="O36" s="859"/>
      <c r="P36" s="859"/>
      <c r="Q36" s="859"/>
      <c r="R36" s="859"/>
      <c r="S36" s="859"/>
      <c r="T36" s="859"/>
      <c r="U36" s="859"/>
    </row>
    <row r="37" spans="1:21" s="8" customFormat="1" ht="33" customHeight="1">
      <c r="A37" s="858"/>
      <c r="B37" s="1860" t="s">
        <v>1253</v>
      </c>
      <c r="C37" s="1860"/>
      <c r="D37" s="1860"/>
      <c r="E37" s="1860"/>
      <c r="F37" s="1860"/>
      <c r="G37" s="1860"/>
      <c r="H37" s="845">
        <v>699</v>
      </c>
      <c r="I37" s="31" t="s">
        <v>1254</v>
      </c>
      <c r="K37" s="587"/>
      <c r="L37" s="859"/>
      <c r="M37" s="74"/>
      <c r="N37" s="372">
        <v>0</v>
      </c>
      <c r="O37" s="373">
        <v>20</v>
      </c>
      <c r="P37" s="859"/>
      <c r="Q37" s="859"/>
      <c r="R37" s="859"/>
      <c r="S37" s="859"/>
      <c r="T37" s="859"/>
      <c r="U37" s="859"/>
    </row>
    <row r="38" spans="1:21" ht="33" customHeight="1">
      <c r="B38" s="1861" t="s">
        <v>1255</v>
      </c>
      <c r="C38" s="1862"/>
      <c r="D38" s="1862"/>
      <c r="E38" s="1862"/>
      <c r="F38" s="1862"/>
      <c r="G38" s="1862"/>
      <c r="H38" s="1862"/>
      <c r="I38" s="1863"/>
      <c r="K38" s="848"/>
      <c r="L38" s="848"/>
      <c r="M38" s="74"/>
      <c r="N38" s="848"/>
      <c r="O38" s="848"/>
      <c r="P38" s="848"/>
      <c r="Q38" s="848"/>
      <c r="R38" s="848"/>
      <c r="S38" s="848"/>
      <c r="T38" s="848"/>
      <c r="U38" s="848"/>
    </row>
    <row r="39" spans="1:21" ht="23.1" customHeight="1">
      <c r="B39" s="1852" t="s">
        <v>1875</v>
      </c>
      <c r="C39" s="1853"/>
      <c r="D39" s="1853"/>
      <c r="E39" s="1853"/>
      <c r="F39" s="1853"/>
      <c r="G39" s="1853"/>
      <c r="H39" s="1853"/>
      <c r="I39" s="1854"/>
      <c r="K39" s="661"/>
      <c r="L39" s="848"/>
      <c r="M39" s="74"/>
      <c r="N39" s="848"/>
      <c r="O39" s="848"/>
      <c r="P39" s="848"/>
      <c r="Q39" s="848"/>
      <c r="R39" s="848"/>
      <c r="S39" s="848"/>
      <c r="T39" s="848"/>
      <c r="U39" s="848"/>
    </row>
    <row r="40" spans="1:21" ht="23.1" customHeight="1">
      <c r="B40" s="1855"/>
      <c r="C40" s="1379"/>
      <c r="D40" s="1379"/>
      <c r="E40" s="1379"/>
      <c r="F40" s="1379"/>
      <c r="G40" s="1379"/>
      <c r="H40" s="1379"/>
      <c r="I40" s="1856"/>
      <c r="K40" s="848"/>
      <c r="L40" s="848"/>
      <c r="M40" s="74"/>
      <c r="N40" s="848"/>
      <c r="O40" s="848"/>
      <c r="P40" s="848"/>
      <c r="Q40" s="848"/>
      <c r="R40" s="848"/>
      <c r="S40" s="848"/>
      <c r="T40" s="848"/>
      <c r="U40" s="848"/>
    </row>
    <row r="41" spans="1:21" ht="23.1" customHeight="1">
      <c r="B41" s="1855"/>
      <c r="C41" s="1379"/>
      <c r="D41" s="1379"/>
      <c r="E41" s="1379"/>
      <c r="F41" s="1379"/>
      <c r="G41" s="1379"/>
      <c r="H41" s="1379"/>
      <c r="I41" s="1856"/>
      <c r="K41" s="848"/>
      <c r="L41" s="848"/>
      <c r="M41" s="74"/>
      <c r="N41" s="848"/>
      <c r="O41" s="848"/>
      <c r="P41" s="848"/>
      <c r="Q41" s="848"/>
      <c r="R41" s="848"/>
      <c r="S41" s="848"/>
      <c r="T41" s="848"/>
      <c r="U41" s="848"/>
    </row>
    <row r="42" spans="1:21" ht="23.1" customHeight="1">
      <c r="B42" s="1855"/>
      <c r="C42" s="1379"/>
      <c r="D42" s="1379"/>
      <c r="E42" s="1379"/>
      <c r="F42" s="1379"/>
      <c r="G42" s="1379"/>
      <c r="H42" s="1379"/>
      <c r="I42" s="1856"/>
      <c r="K42" s="848"/>
      <c r="L42" s="848"/>
      <c r="M42" s="74"/>
      <c r="N42" s="848"/>
      <c r="O42" s="848"/>
      <c r="P42" s="848"/>
      <c r="Q42" s="848"/>
      <c r="R42" s="848"/>
      <c r="S42" s="848"/>
      <c r="T42" s="848"/>
      <c r="U42" s="848"/>
    </row>
    <row r="43" spans="1:21" ht="23.1" customHeight="1">
      <c r="B43" s="1857"/>
      <c r="C43" s="1858"/>
      <c r="D43" s="1858"/>
      <c r="E43" s="1858"/>
      <c r="F43" s="1858"/>
      <c r="G43" s="1858"/>
      <c r="H43" s="1858"/>
      <c r="I43" s="1859"/>
      <c r="K43" s="848"/>
      <c r="L43" s="848"/>
      <c r="M43" s="74"/>
      <c r="N43" s="848"/>
      <c r="O43" s="848"/>
      <c r="P43" s="848"/>
      <c r="Q43" s="848"/>
      <c r="R43" s="848"/>
      <c r="S43" s="848"/>
      <c r="T43" s="848"/>
      <c r="U43" s="848"/>
    </row>
    <row r="44" spans="1:21" ht="33" customHeight="1">
      <c r="B44" s="1864" t="s">
        <v>1256</v>
      </c>
      <c r="C44" s="1865"/>
      <c r="D44" s="1865"/>
      <c r="E44" s="1865"/>
      <c r="F44" s="1865"/>
      <c r="G44" s="1865"/>
      <c r="H44" s="1865"/>
      <c r="I44" s="1866"/>
      <c r="K44" s="848"/>
      <c r="L44" s="848"/>
      <c r="M44" s="74"/>
      <c r="N44" s="848"/>
      <c r="O44" s="848"/>
      <c r="P44" s="848"/>
      <c r="Q44" s="848"/>
      <c r="R44" s="848"/>
      <c r="S44" s="848"/>
      <c r="T44" s="848"/>
      <c r="U44" s="848"/>
    </row>
    <row r="45" spans="1:21" ht="23.1" customHeight="1">
      <c r="B45" s="1852"/>
      <c r="C45" s="1853"/>
      <c r="D45" s="1853"/>
      <c r="E45" s="1853"/>
      <c r="F45" s="1853"/>
      <c r="G45" s="1853"/>
      <c r="H45" s="1853"/>
      <c r="I45" s="1854"/>
      <c r="K45" s="848"/>
      <c r="L45" s="848"/>
      <c r="M45" s="74"/>
      <c r="N45" s="848"/>
      <c r="O45" s="848"/>
      <c r="P45" s="848"/>
      <c r="Q45" s="848"/>
      <c r="R45" s="848"/>
      <c r="S45" s="848"/>
      <c r="T45" s="848"/>
      <c r="U45" s="848"/>
    </row>
    <row r="46" spans="1:21" ht="23.1" customHeight="1">
      <c r="B46" s="1855"/>
      <c r="C46" s="1379"/>
      <c r="D46" s="1379"/>
      <c r="E46" s="1379"/>
      <c r="F46" s="1379"/>
      <c r="G46" s="1379"/>
      <c r="H46" s="1379"/>
      <c r="I46" s="1856"/>
      <c r="K46" s="848"/>
      <c r="L46" s="848"/>
      <c r="M46" s="74"/>
      <c r="N46" s="848"/>
      <c r="O46" s="848"/>
      <c r="P46" s="848"/>
      <c r="Q46" s="848"/>
      <c r="R46" s="848"/>
      <c r="S46" s="848"/>
      <c r="T46" s="848"/>
      <c r="U46" s="848"/>
    </row>
    <row r="47" spans="1:21" ht="23.1" customHeight="1">
      <c r="B47" s="1857"/>
      <c r="C47" s="1858"/>
      <c r="D47" s="1858"/>
      <c r="E47" s="1858"/>
      <c r="F47" s="1858"/>
      <c r="G47" s="1858"/>
      <c r="H47" s="1858"/>
      <c r="I47" s="1859"/>
      <c r="K47" s="848"/>
      <c r="L47" s="848"/>
      <c r="M47" s="74"/>
      <c r="N47" s="848"/>
      <c r="O47" s="848"/>
      <c r="P47" s="848"/>
      <c r="Q47" s="848"/>
      <c r="R47" s="848"/>
      <c r="S47" s="848"/>
      <c r="T47" s="848"/>
      <c r="U47" s="848"/>
    </row>
    <row r="48" spans="1:21" ht="9.9" customHeight="1">
      <c r="M48" s="179"/>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M16" sqref="M16"/>
    </sheetView>
  </sheetViews>
  <sheetFormatPr defaultColWidth="9" defaultRowHeight="13.2"/>
  <cols>
    <col min="1" max="1" width="3.33203125" customWidth="1"/>
    <col min="2" max="2" width="4.33203125" customWidth="1"/>
    <col min="3" max="3" width="16.88671875" customWidth="1"/>
    <col min="4" max="6" width="15.109375" customWidth="1"/>
    <col min="7" max="7" width="41.109375" customWidth="1"/>
    <col min="8" max="8" width="14" customWidth="1"/>
    <col min="9" max="9" width="23.6640625" customWidth="1"/>
    <col min="10" max="10" width="1.6640625" customWidth="1"/>
    <col min="11" max="11" width="6.88671875" hidden="1" customWidth="1"/>
    <col min="12" max="12" width="3.44140625" customWidth="1"/>
    <col min="13" max="13" width="82.77734375" style="1" bestFit="1" customWidth="1"/>
    <col min="14" max="15" width="0" hidden="1" customWidth="1"/>
  </cols>
  <sheetData>
    <row r="1" spans="1:13" ht="30" customHeight="1" thickBot="1">
      <c r="A1" s="1834" t="s">
        <v>1468</v>
      </c>
      <c r="B1" s="1834"/>
      <c r="C1" s="1834"/>
      <c r="D1" s="1834"/>
      <c r="E1" s="1834"/>
      <c r="F1" s="1834"/>
      <c r="G1" s="1834"/>
      <c r="H1" s="1834"/>
      <c r="I1" s="1834"/>
      <c r="J1" s="1834"/>
    </row>
    <row r="2" spans="1:13" ht="24.9" customHeight="1" thickBot="1">
      <c r="B2" s="1268" t="s">
        <v>1238</v>
      </c>
      <c r="C2" s="1268"/>
      <c r="D2" s="1268"/>
      <c r="E2" s="1268"/>
      <c r="F2" s="1268"/>
      <c r="G2" s="1268"/>
      <c r="H2" s="1268"/>
      <c r="I2" s="847" t="str">
        <f>IF(COUNTIF(K:K,"×")=0,"入力済","未入力あり")</f>
        <v>入力済</v>
      </c>
      <c r="M2" s="177" t="s">
        <v>234</v>
      </c>
    </row>
    <row r="3" spans="1:13" ht="24.9" customHeight="1">
      <c r="B3" s="1835"/>
      <c r="C3" s="1835"/>
      <c r="D3" s="1835"/>
      <c r="E3" s="1835"/>
      <c r="F3" s="1835"/>
      <c r="G3" s="1835"/>
      <c r="H3" s="1835"/>
      <c r="I3" s="426"/>
      <c r="M3" s="74"/>
    </row>
    <row r="4" spans="1:13" ht="24.9" customHeight="1">
      <c r="G4" s="846" t="s">
        <v>757</v>
      </c>
      <c r="H4" s="1325" t="str">
        <f>表紙!E2</f>
        <v>公益財団法人　日本生命済生会　日本生命病院</v>
      </c>
      <c r="I4" s="1326"/>
      <c r="M4" s="74"/>
    </row>
    <row r="5" spans="1:13" ht="20.100000000000001" customHeight="1">
      <c r="M5" s="154"/>
    </row>
    <row r="6" spans="1:13" ht="11.25" customHeight="1">
      <c r="G6" s="568"/>
      <c r="M6" s="74"/>
    </row>
    <row r="7" spans="1:13" ht="9.9" customHeight="1">
      <c r="G7" s="568"/>
      <c r="M7" s="74"/>
    </row>
    <row r="8" spans="1:13" ht="20.100000000000001" customHeight="1">
      <c r="A8" s="1836" t="s">
        <v>1469</v>
      </c>
      <c r="B8" s="1836"/>
      <c r="C8" s="1836"/>
      <c r="D8" s="1836"/>
      <c r="E8" s="1836"/>
      <c r="F8" s="1836"/>
      <c r="G8" s="1836"/>
      <c r="H8" s="1836"/>
      <c r="I8" s="1836"/>
      <c r="J8" s="1836"/>
      <c r="M8" s="154"/>
    </row>
    <row r="9" spans="1:13" ht="20.100000000000001" customHeight="1" thickBot="1">
      <c r="A9" s="1"/>
      <c r="B9" s="1146" t="s">
        <v>1478</v>
      </c>
      <c r="C9" s="1"/>
      <c r="D9" s="1"/>
      <c r="E9" s="1"/>
      <c r="F9" s="1"/>
      <c r="G9" s="1"/>
      <c r="H9" s="1"/>
      <c r="I9" s="1"/>
      <c r="J9" s="1"/>
      <c r="K9" s="587"/>
      <c r="M9" s="154"/>
    </row>
    <row r="10" spans="1:13" ht="20.100000000000001" customHeight="1" thickBot="1">
      <c r="A10" s="1871" t="s">
        <v>1909</v>
      </c>
      <c r="B10" s="1872"/>
      <c r="C10" s="1872"/>
      <c r="D10" s="1872"/>
      <c r="E10" s="1872"/>
      <c r="F10" s="1872"/>
      <c r="G10" s="1872"/>
      <c r="H10" s="1873"/>
      <c r="K10" s="894" t="str">
        <f>IF(ISBLANK(A10),"×","〇")</f>
        <v>〇</v>
      </c>
      <c r="M10" s="74"/>
    </row>
    <row r="11" spans="1:13" ht="20.100000000000001" customHeight="1" thickBot="1">
      <c r="A11" s="1"/>
      <c r="B11" s="1"/>
      <c r="C11" s="1"/>
      <c r="D11" s="1"/>
      <c r="F11" s="1869" t="s">
        <v>1727</v>
      </c>
      <c r="G11" s="1870"/>
      <c r="H11" s="880">
        <v>1</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74" t="s">
        <v>1728</v>
      </c>
      <c r="B14" s="1875"/>
      <c r="C14" s="1875"/>
      <c r="D14" s="1875"/>
      <c r="E14" s="1875"/>
      <c r="F14" s="1875"/>
      <c r="G14" s="1875"/>
      <c r="H14" s="1875"/>
      <c r="I14" s="1876"/>
      <c r="J14" s="1"/>
      <c r="M14" s="74"/>
    </row>
    <row r="15" spans="1:13" ht="20.100000000000001" customHeight="1">
      <c r="A15" s="1877"/>
      <c r="B15" s="1878"/>
      <c r="C15" s="1878"/>
      <c r="D15" s="1878"/>
      <c r="E15" s="1878"/>
      <c r="F15" s="1878"/>
      <c r="G15" s="1878"/>
      <c r="H15" s="1878"/>
      <c r="I15" s="1879"/>
      <c r="J15" s="1"/>
      <c r="M15" s="74"/>
    </row>
    <row r="16" spans="1:13" ht="53.25" customHeight="1">
      <c r="A16" s="1877"/>
      <c r="B16" s="1878"/>
      <c r="C16" s="1878"/>
      <c r="D16" s="1878"/>
      <c r="E16" s="1878"/>
      <c r="F16" s="1878"/>
      <c r="G16" s="1878"/>
      <c r="H16" s="1878"/>
      <c r="I16" s="1879"/>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1470</v>
      </c>
      <c r="D18" s="879" t="s">
        <v>1471</v>
      </c>
      <c r="E18" s="884" t="s">
        <v>1472</v>
      </c>
      <c r="F18" s="1880" t="s">
        <v>1473</v>
      </c>
      <c r="G18" s="1881"/>
      <c r="H18" s="879" t="s">
        <v>1787</v>
      </c>
      <c r="I18" s="892" t="s">
        <v>1474</v>
      </c>
      <c r="K18" s="851"/>
      <c r="L18" s="848"/>
      <c r="M18" s="74"/>
      <c r="N18" s="848"/>
      <c r="O18" s="848"/>
      <c r="P18" s="848"/>
      <c r="Q18" s="848"/>
      <c r="R18" s="848"/>
      <c r="S18" s="848"/>
      <c r="T18" s="848"/>
      <c r="U18" s="848"/>
    </row>
    <row r="19" spans="1:21" s="547" customFormat="1" ht="27.9" customHeight="1" thickBot="1">
      <c r="B19" s="752" t="s">
        <v>1048</v>
      </c>
      <c r="C19" s="795">
        <v>10</v>
      </c>
      <c r="D19" s="886">
        <v>20</v>
      </c>
      <c r="E19" s="887" t="s">
        <v>1475</v>
      </c>
      <c r="F19" s="1882" t="s">
        <v>1476</v>
      </c>
      <c r="G19" s="1883"/>
      <c r="H19" s="888">
        <v>4</v>
      </c>
      <c r="I19" s="889" t="s">
        <v>1477</v>
      </c>
      <c r="K19" s="848"/>
      <c r="L19" s="848"/>
      <c r="M19" s="74"/>
      <c r="N19" s="848"/>
      <c r="O19" s="848"/>
      <c r="P19" s="848"/>
      <c r="Q19" s="848"/>
      <c r="R19" s="848"/>
      <c r="S19" s="848"/>
      <c r="T19" s="848"/>
      <c r="U19" s="848"/>
    </row>
    <row r="20" spans="1:21" s="547" customFormat="1" ht="27.9" customHeight="1" thickBot="1">
      <c r="B20" s="436">
        <v>1</v>
      </c>
      <c r="C20" s="890">
        <v>60</v>
      </c>
      <c r="D20" s="890">
        <v>100</v>
      </c>
      <c r="E20" s="891" t="s">
        <v>1901</v>
      </c>
      <c r="F20" s="1867" t="s">
        <v>1902</v>
      </c>
      <c r="G20" s="1868"/>
      <c r="H20" s="890">
        <v>1</v>
      </c>
      <c r="I20" s="893" t="s">
        <v>1903</v>
      </c>
      <c r="K20" s="882" t="str">
        <f>IF(AND(A20&lt;&gt;0,A20=""),"×","○")</f>
        <v>○</v>
      </c>
      <c r="L20" s="848"/>
      <c r="M20" s="74"/>
      <c r="N20" s="372">
        <v>0</v>
      </c>
      <c r="O20" s="373">
        <v>20</v>
      </c>
      <c r="P20" s="848"/>
      <c r="Q20" s="848"/>
      <c r="R20" s="848"/>
      <c r="S20" s="848"/>
      <c r="T20" s="848"/>
      <c r="U20" s="848"/>
    </row>
    <row r="21" spans="1:21" s="547" customFormat="1" ht="27.9" customHeight="1" thickBot="1">
      <c r="B21" s="844">
        <v>2</v>
      </c>
      <c r="C21" s="890"/>
      <c r="D21" s="890"/>
      <c r="E21" s="891"/>
      <c r="F21" s="1867"/>
      <c r="G21" s="1868"/>
      <c r="H21" s="890"/>
      <c r="I21" s="893"/>
      <c r="K21" s="848"/>
      <c r="L21" s="848"/>
      <c r="M21" s="74"/>
      <c r="N21" s="372">
        <v>0</v>
      </c>
      <c r="O21" s="373">
        <v>20</v>
      </c>
      <c r="P21" s="848"/>
      <c r="Q21" s="848"/>
      <c r="R21" s="848"/>
      <c r="S21" s="848"/>
      <c r="T21" s="848"/>
      <c r="U21" s="848"/>
    </row>
    <row r="22" spans="1:21" s="547" customFormat="1" ht="27.9" customHeight="1" thickBot="1">
      <c r="B22" s="854">
        <v>3</v>
      </c>
      <c r="C22" s="890"/>
      <c r="D22" s="890"/>
      <c r="E22" s="891"/>
      <c r="F22" s="1867"/>
      <c r="G22" s="1868"/>
      <c r="H22" s="890"/>
      <c r="I22" s="893"/>
      <c r="K22" s="851"/>
      <c r="L22" s="848"/>
      <c r="M22" s="74"/>
      <c r="N22" s="372">
        <v>0</v>
      </c>
      <c r="O22" s="373">
        <v>20</v>
      </c>
      <c r="P22" s="848"/>
      <c r="Q22" s="848"/>
      <c r="R22" s="848"/>
      <c r="S22" s="848"/>
      <c r="T22" s="848"/>
      <c r="U22" s="848"/>
    </row>
    <row r="23" spans="1:21" s="547" customFormat="1" ht="27.9" customHeight="1" thickBot="1">
      <c r="B23" s="844">
        <v>4</v>
      </c>
      <c r="C23" s="890"/>
      <c r="D23" s="890"/>
      <c r="E23" s="891"/>
      <c r="F23" s="1867"/>
      <c r="G23" s="1868"/>
      <c r="H23" s="890"/>
      <c r="I23" s="893"/>
      <c r="K23" s="848"/>
      <c r="L23" s="848"/>
      <c r="M23" s="74"/>
      <c r="N23" s="372">
        <v>0</v>
      </c>
      <c r="O23" s="373">
        <v>20</v>
      </c>
      <c r="P23" s="848"/>
      <c r="Q23" s="848"/>
      <c r="R23" s="848"/>
      <c r="S23" s="848"/>
      <c r="T23" s="848"/>
      <c r="U23" s="848"/>
    </row>
    <row r="24" spans="1:21" s="547" customFormat="1" ht="27.9" customHeight="1" thickBot="1">
      <c r="B24" s="844">
        <v>5</v>
      </c>
      <c r="C24" s="890"/>
      <c r="D24" s="890"/>
      <c r="E24" s="891"/>
      <c r="F24" s="1867"/>
      <c r="G24" s="1868"/>
      <c r="H24" s="890"/>
      <c r="I24" s="893"/>
      <c r="K24" s="848"/>
      <c r="L24" s="848"/>
      <c r="M24" s="74"/>
      <c r="N24" s="372">
        <v>0</v>
      </c>
      <c r="O24" s="373">
        <v>20</v>
      </c>
      <c r="P24" s="848"/>
      <c r="Q24" s="848"/>
      <c r="R24" s="848"/>
      <c r="S24" s="848"/>
      <c r="T24" s="848"/>
      <c r="U24" s="848"/>
    </row>
    <row r="25" spans="1:21" s="547" customFormat="1" ht="27.9" customHeight="1" thickBot="1">
      <c r="B25" s="844">
        <v>6</v>
      </c>
      <c r="C25" s="890"/>
      <c r="D25" s="890"/>
      <c r="E25" s="891"/>
      <c r="F25" s="1867"/>
      <c r="G25" s="1868"/>
      <c r="H25" s="890"/>
      <c r="I25" s="893"/>
      <c r="K25" s="848"/>
      <c r="L25" s="848"/>
      <c r="M25" s="74"/>
      <c r="N25" s="372">
        <v>0</v>
      </c>
      <c r="O25" s="373">
        <v>20</v>
      </c>
      <c r="P25" s="848"/>
      <c r="Q25" s="848"/>
      <c r="R25" s="848"/>
      <c r="S25" s="848"/>
      <c r="T25" s="848"/>
      <c r="U25" s="848"/>
    </row>
    <row r="26" spans="1:21" s="547" customFormat="1" ht="27.9" customHeight="1" thickBot="1">
      <c r="B26" s="844">
        <v>7</v>
      </c>
      <c r="C26" s="890"/>
      <c r="D26" s="890"/>
      <c r="E26" s="891"/>
      <c r="F26" s="1867"/>
      <c r="G26" s="1868"/>
      <c r="H26" s="890"/>
      <c r="I26" s="893"/>
      <c r="K26" s="851"/>
      <c r="L26" s="848"/>
      <c r="M26" s="74"/>
      <c r="N26" s="372">
        <v>0</v>
      </c>
      <c r="O26" s="373">
        <v>20</v>
      </c>
      <c r="P26" s="848"/>
      <c r="Q26" s="848"/>
      <c r="R26" s="848"/>
      <c r="S26" s="848"/>
      <c r="T26" s="848"/>
      <c r="U26" s="848"/>
    </row>
    <row r="27" spans="1:21" s="547" customFormat="1" ht="27.9" customHeight="1" thickBot="1">
      <c r="B27" s="844">
        <v>8</v>
      </c>
      <c r="C27" s="890"/>
      <c r="D27" s="890"/>
      <c r="E27" s="891"/>
      <c r="F27" s="1867"/>
      <c r="G27" s="1868"/>
      <c r="H27" s="890"/>
      <c r="I27" s="893"/>
      <c r="K27" s="848"/>
      <c r="L27" s="848"/>
      <c r="M27" s="74"/>
      <c r="N27" s="372">
        <v>0</v>
      </c>
      <c r="O27" s="373">
        <v>20</v>
      </c>
      <c r="P27" s="848"/>
      <c r="Q27" s="848"/>
      <c r="R27" s="848"/>
      <c r="S27" s="848"/>
      <c r="T27" s="848"/>
      <c r="U27" s="848"/>
    </row>
    <row r="28" spans="1:21" s="547" customFormat="1" ht="27.9" customHeight="1" thickBot="1">
      <c r="B28" s="844">
        <v>9</v>
      </c>
      <c r="C28" s="890"/>
      <c r="D28" s="890"/>
      <c r="E28" s="891"/>
      <c r="F28" s="1867"/>
      <c r="G28" s="1868"/>
      <c r="H28" s="890"/>
      <c r="I28" s="893"/>
      <c r="K28" s="848"/>
      <c r="L28" s="848"/>
      <c r="M28" s="74"/>
      <c r="N28" s="372">
        <v>0</v>
      </c>
      <c r="O28" s="373">
        <v>20</v>
      </c>
      <c r="P28" s="848"/>
      <c r="Q28" s="848"/>
      <c r="R28" s="848"/>
      <c r="S28" s="848"/>
      <c r="T28" s="848"/>
      <c r="U28" s="848"/>
    </row>
    <row r="29" spans="1:21" s="547" customFormat="1" ht="27.9" customHeight="1" thickBot="1">
      <c r="B29" s="844">
        <v>10</v>
      </c>
      <c r="C29" s="890"/>
      <c r="D29" s="890"/>
      <c r="E29" s="891"/>
      <c r="F29" s="1867"/>
      <c r="G29" s="1868"/>
      <c r="H29" s="890"/>
      <c r="I29" s="893"/>
      <c r="K29" s="848"/>
      <c r="L29" s="848"/>
      <c r="M29" s="74"/>
      <c r="N29" s="372">
        <v>0</v>
      </c>
      <c r="O29" s="373">
        <v>20</v>
      </c>
      <c r="P29" s="848"/>
      <c r="Q29" s="848"/>
      <c r="R29" s="848"/>
      <c r="S29" s="848"/>
      <c r="T29" s="848"/>
      <c r="U29" s="848"/>
    </row>
    <row r="30" spans="1:21" s="547" customFormat="1" ht="27.9" customHeight="1" thickBot="1">
      <c r="B30" s="844">
        <v>11</v>
      </c>
      <c r="C30" s="890"/>
      <c r="D30" s="890"/>
      <c r="E30" s="891"/>
      <c r="F30" s="1867"/>
      <c r="G30" s="1868"/>
      <c r="H30" s="890"/>
      <c r="I30" s="893"/>
      <c r="K30" s="851"/>
      <c r="L30" s="848"/>
      <c r="M30" s="74"/>
      <c r="N30" s="372">
        <v>0</v>
      </c>
      <c r="O30" s="373">
        <v>20</v>
      </c>
      <c r="P30" s="848"/>
      <c r="Q30" s="848"/>
      <c r="R30" s="848"/>
      <c r="S30" s="848"/>
      <c r="T30" s="848"/>
      <c r="U30" s="848"/>
    </row>
    <row r="31" spans="1:21" s="547" customFormat="1" ht="27.9" customHeight="1" thickBot="1">
      <c r="B31" s="844">
        <v>12</v>
      </c>
      <c r="C31" s="890"/>
      <c r="D31" s="890"/>
      <c r="E31" s="891"/>
      <c r="F31" s="1867"/>
      <c r="G31" s="1868"/>
      <c r="H31" s="890"/>
      <c r="I31" s="893"/>
      <c r="K31" s="848"/>
      <c r="L31" s="855"/>
      <c r="M31" s="74"/>
      <c r="N31" s="372">
        <v>0</v>
      </c>
      <c r="O31" s="373">
        <v>20</v>
      </c>
      <c r="P31" s="856"/>
      <c r="Q31" s="856"/>
      <c r="R31" s="856"/>
      <c r="S31" s="856"/>
      <c r="T31" s="856"/>
      <c r="U31" s="856"/>
    </row>
    <row r="32" spans="1:21" s="547" customFormat="1" ht="27.9" customHeight="1" thickBot="1">
      <c r="B32" s="844">
        <v>13</v>
      </c>
      <c r="C32" s="890"/>
      <c r="D32" s="890"/>
      <c r="E32" s="891"/>
      <c r="F32" s="1867"/>
      <c r="G32" s="1868"/>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A2" zoomScale="66" zoomScaleNormal="50" zoomScaleSheetLayoutView="85" zoomScalePageLayoutView="50" workbookViewId="0">
      <selection activeCell="AI9" sqref="AI9"/>
    </sheetView>
  </sheetViews>
  <sheetFormatPr defaultColWidth="8.88671875" defaultRowHeight="14.4" outlineLevelCol="1"/>
  <cols>
    <col min="1" max="1" width="47.109375" style="914" bestFit="1" customWidth="1"/>
    <col min="2" max="2" width="13.33203125" style="134" customWidth="1"/>
    <col min="3" max="3" width="13.33203125" style="915" customWidth="1"/>
    <col min="4" max="4" width="13.33203125" style="134" customWidth="1"/>
    <col min="5" max="5" width="14.33203125" style="134" bestFit="1" customWidth="1"/>
    <col min="6" max="6" width="15.6640625" style="134" customWidth="1" outlineLevel="1"/>
    <col min="7" max="7" width="9.33203125" style="134" customWidth="1" outlineLevel="1"/>
    <col min="8" max="8" width="11.33203125" style="134" customWidth="1" outlineLevel="1"/>
    <col min="9" max="9" width="10.109375" style="134" customWidth="1" outlineLevel="1"/>
    <col min="10" max="10" width="12.6640625" style="134" customWidth="1" outlineLevel="1"/>
    <col min="11" max="11" width="11.109375" style="134" customWidth="1" outlineLevel="1"/>
    <col min="12" max="12" width="10.109375" style="134" customWidth="1" outlineLevel="1"/>
    <col min="13" max="13" width="9.33203125" style="134" customWidth="1" outlineLevel="1"/>
    <col min="14" max="14" width="10" style="134" customWidth="1" outlineLevel="1"/>
    <col min="15" max="16" width="10.6640625" style="134" customWidth="1" outlineLevel="1"/>
    <col min="17" max="17" width="11.109375" style="134" customWidth="1" outlineLevel="1"/>
    <col min="18" max="22" width="11.6640625" style="134" customWidth="1" outlineLevel="1"/>
    <col min="23" max="23" width="11.88671875" style="134" customWidth="1" outlineLevel="1"/>
    <col min="24" max="24" width="11" style="134" customWidth="1" outlineLevel="1"/>
    <col min="25" max="25" width="9.109375" style="134" customWidth="1" outlineLevel="1"/>
    <col min="26" max="26" width="12" style="134" customWidth="1" outlineLevel="1"/>
    <col min="27" max="27" width="11.44140625" style="134" customWidth="1" outlineLevel="1"/>
    <col min="28" max="28" width="14.6640625" style="134" customWidth="1"/>
    <col min="29" max="42" width="11.44140625" style="134" customWidth="1" outlineLevel="1"/>
    <col min="43" max="43" width="15.109375" style="134" customWidth="1"/>
    <col min="44" max="47" width="13.109375" style="134" customWidth="1" outlineLevel="1"/>
    <col min="48" max="48" width="13.109375" style="134" customWidth="1"/>
    <col min="49" max="53" width="13.109375" style="134" customWidth="1" outlineLevel="1"/>
    <col min="54" max="54" width="11.33203125" style="134" customWidth="1"/>
    <col min="55" max="55" width="11.109375" style="134" customWidth="1"/>
    <col min="56" max="56" width="12" style="134" customWidth="1"/>
    <col min="57" max="57" width="11.77734375" style="134" customWidth="1"/>
    <col min="58" max="58" width="12" style="134" customWidth="1"/>
    <col min="59" max="59" width="13" style="134" customWidth="1"/>
    <col min="60" max="60" width="11.33203125" style="134" customWidth="1"/>
    <col min="61" max="61" width="12" style="134" customWidth="1"/>
    <col min="62" max="62" width="11.109375" style="134" customWidth="1"/>
    <col min="63" max="16384" width="8.88671875" style="134"/>
  </cols>
  <sheetData>
    <row r="1" spans="1:63" ht="42.6" customHeight="1" thickBot="1">
      <c r="A1" s="1913" t="s">
        <v>1721</v>
      </c>
      <c r="B1" s="1913"/>
      <c r="C1" s="1913"/>
      <c r="D1" s="1913"/>
      <c r="E1" s="1913"/>
      <c r="F1" s="1913"/>
      <c r="G1" s="1913"/>
      <c r="H1" s="1913"/>
      <c r="I1" s="1913"/>
      <c r="J1" s="1913"/>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5" customHeight="1" thickBot="1">
      <c r="A2"/>
      <c r="B2" s="1268" t="s">
        <v>1238</v>
      </c>
      <c r="C2" s="1268"/>
      <c r="D2" s="1268"/>
      <c r="E2" s="1268"/>
      <c r="F2" s="1268"/>
      <c r="G2" s="1268"/>
      <c r="H2" s="1268"/>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 customHeight="1" thickBot="1">
      <c r="A3" s="1911" t="s">
        <v>1789</v>
      </c>
      <c r="B3" s="1912"/>
      <c r="C3" s="1912"/>
      <c r="D3" s="1912"/>
      <c r="E3" s="1912"/>
      <c r="F3" s="1912"/>
      <c r="G3" s="1912"/>
      <c r="H3" s="1912"/>
      <c r="I3" s="1912"/>
      <c r="J3" s="1912"/>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884" t="s">
        <v>1388</v>
      </c>
      <c r="B4" s="1886" t="s">
        <v>1389</v>
      </c>
      <c r="C4" s="1887"/>
      <c r="D4" s="900" t="s">
        <v>1390</v>
      </c>
      <c r="E4" s="1888" t="s">
        <v>1485</v>
      </c>
      <c r="F4" s="1888"/>
      <c r="G4" s="1888"/>
      <c r="H4" s="1888"/>
      <c r="I4" s="1888"/>
      <c r="J4" s="1888"/>
      <c r="K4" s="1888"/>
      <c r="L4" s="1888"/>
      <c r="M4" s="1888"/>
      <c r="N4" s="1888"/>
      <c r="O4" s="1888"/>
      <c r="P4" s="1888"/>
      <c r="Q4" s="1888"/>
      <c r="R4" s="1888"/>
      <c r="S4" s="1888"/>
      <c r="T4" s="1888"/>
      <c r="U4" s="1888"/>
      <c r="V4" s="1888"/>
      <c r="W4" s="1888"/>
      <c r="X4" s="1888"/>
      <c r="Y4" s="1888"/>
      <c r="Z4" s="1888"/>
      <c r="AA4" s="1888"/>
      <c r="AB4" s="1888"/>
      <c r="AC4" s="1888"/>
      <c r="AD4" s="1888"/>
      <c r="AE4" s="1888"/>
      <c r="AF4" s="1888"/>
      <c r="AG4" s="1888"/>
      <c r="AH4" s="1888"/>
      <c r="AI4" s="1888"/>
      <c r="AJ4" s="901"/>
      <c r="AK4" s="1889" t="s">
        <v>1391</v>
      </c>
      <c r="AL4" s="1890"/>
      <c r="AM4" s="1890"/>
      <c r="AN4" s="1890"/>
      <c r="AO4" s="1890"/>
      <c r="AP4" s="1890"/>
      <c r="AQ4" s="1890"/>
      <c r="AR4" s="1890"/>
      <c r="AS4" s="1890"/>
      <c r="AT4" s="1890"/>
      <c r="AU4" s="1890"/>
      <c r="AV4" s="1890"/>
      <c r="AW4" s="1890"/>
      <c r="AX4" s="1890"/>
      <c r="AY4" s="1890"/>
      <c r="AZ4" s="1891"/>
      <c r="BA4" s="902" t="s">
        <v>859</v>
      </c>
      <c r="BB4" s="1900" t="s">
        <v>1392</v>
      </c>
      <c r="BC4" s="1901"/>
      <c r="BD4" s="1901"/>
      <c r="BE4" s="1901"/>
      <c r="BF4" s="903" t="s">
        <v>1393</v>
      </c>
      <c r="BG4" s="1886" t="s">
        <v>1394</v>
      </c>
      <c r="BH4" s="1890"/>
      <c r="BI4" s="1890"/>
      <c r="BJ4" s="1891"/>
      <c r="BK4" s="904" t="s">
        <v>1395</v>
      </c>
    </row>
    <row r="5" spans="1:63" s="905" customFormat="1" ht="66.75" customHeight="1" thickTop="1" thickBot="1">
      <c r="A5" s="1885"/>
      <c r="B5" s="1902" t="s">
        <v>1486</v>
      </c>
      <c r="C5" s="1904" t="s">
        <v>1487</v>
      </c>
      <c r="D5" s="1904" t="s">
        <v>1396</v>
      </c>
      <c r="E5" s="1904" t="s">
        <v>1488</v>
      </c>
      <c r="F5" s="1892" t="s">
        <v>1397</v>
      </c>
      <c r="G5" s="1893"/>
      <c r="H5" s="1907"/>
      <c r="I5" s="1908" t="s">
        <v>1398</v>
      </c>
      <c r="J5" s="1909"/>
      <c r="K5" s="1909"/>
      <c r="L5" s="1909"/>
      <c r="M5" s="1910"/>
      <c r="N5" s="1908" t="s">
        <v>1399</v>
      </c>
      <c r="O5" s="1909"/>
      <c r="P5" s="1909"/>
      <c r="Q5" s="1910"/>
      <c r="R5" s="1908" t="s">
        <v>1400</v>
      </c>
      <c r="S5" s="1909"/>
      <c r="T5" s="1909"/>
      <c r="U5" s="1909"/>
      <c r="V5" s="1910"/>
      <c r="W5" s="1892" t="s">
        <v>1401</v>
      </c>
      <c r="X5" s="1893"/>
      <c r="Y5" s="1893"/>
      <c r="Z5" s="1893"/>
      <c r="AA5" s="1894"/>
      <c r="AB5" s="1892" t="s">
        <v>1489</v>
      </c>
      <c r="AC5" s="1893"/>
      <c r="AD5" s="906"/>
      <c r="AE5" s="1895" t="s">
        <v>1490</v>
      </c>
      <c r="AF5" s="1896"/>
      <c r="AG5" s="1223" t="s">
        <v>1491</v>
      </c>
      <c r="AH5" s="1897" t="s">
        <v>1492</v>
      </c>
      <c r="AI5" s="1897"/>
      <c r="AJ5" s="1222"/>
      <c r="AK5" s="1922" t="s">
        <v>1402</v>
      </c>
      <c r="AL5" s="1924" t="s">
        <v>1403</v>
      </c>
      <c r="AM5" s="1893"/>
      <c r="AN5" s="1893"/>
      <c r="AO5" s="1893"/>
      <c r="AP5" s="1893"/>
      <c r="AQ5" s="1893"/>
      <c r="AR5" s="1925"/>
      <c r="AS5" s="1924" t="s">
        <v>1404</v>
      </c>
      <c r="AT5" s="1893"/>
      <c r="AU5" s="1893"/>
      <c r="AV5" s="1893"/>
      <c r="AW5" s="1893"/>
      <c r="AX5" s="1893"/>
      <c r="AY5" s="1893"/>
      <c r="AZ5" s="1925"/>
      <c r="BA5" s="1226" t="s">
        <v>1405</v>
      </c>
      <c r="BB5" s="1897" t="s">
        <v>1406</v>
      </c>
      <c r="BC5" s="1897" t="s">
        <v>1407</v>
      </c>
      <c r="BD5" s="1897"/>
      <c r="BE5" s="1897"/>
      <c r="BF5" s="1898" t="s">
        <v>1493</v>
      </c>
      <c r="BG5" s="1892" t="s">
        <v>1494</v>
      </c>
      <c r="BH5" s="1907"/>
      <c r="BI5" s="1892" t="s">
        <v>1495</v>
      </c>
      <c r="BJ5" s="1893"/>
      <c r="BK5" s="1914" t="s">
        <v>1408</v>
      </c>
    </row>
    <row r="6" spans="1:63" s="905" customFormat="1" ht="81">
      <c r="A6" s="1885"/>
      <c r="B6" s="1903"/>
      <c r="C6" s="1905"/>
      <c r="D6" s="1905"/>
      <c r="E6" s="1906"/>
      <c r="F6" s="1916" t="s">
        <v>1409</v>
      </c>
      <c r="G6" s="1916" t="s">
        <v>1496</v>
      </c>
      <c r="H6" s="1918"/>
      <c r="I6" s="907" t="s">
        <v>1411</v>
      </c>
      <c r="J6" s="1916" t="s">
        <v>1412</v>
      </c>
      <c r="K6" s="1918"/>
      <c r="L6" s="907" t="s">
        <v>1413</v>
      </c>
      <c r="M6" s="907" t="s">
        <v>1414</v>
      </c>
      <c r="N6" s="907" t="s">
        <v>1415</v>
      </c>
      <c r="O6" s="1916" t="s">
        <v>1416</v>
      </c>
      <c r="P6" s="1918"/>
      <c r="Q6" s="907" t="s">
        <v>1417</v>
      </c>
      <c r="R6" s="907" t="s">
        <v>1415</v>
      </c>
      <c r="S6" s="1916" t="s">
        <v>1418</v>
      </c>
      <c r="T6" s="1918"/>
      <c r="U6" s="907" t="s">
        <v>1419</v>
      </c>
      <c r="V6" s="907" t="s">
        <v>1420</v>
      </c>
      <c r="W6" s="907" t="s">
        <v>1421</v>
      </c>
      <c r="X6" s="907" t="s">
        <v>1422</v>
      </c>
      <c r="Y6" s="907" t="s">
        <v>1423</v>
      </c>
      <c r="Z6" s="907" t="s">
        <v>1424</v>
      </c>
      <c r="AA6" s="907" t="s">
        <v>1497</v>
      </c>
      <c r="AB6" s="907" t="s">
        <v>1498</v>
      </c>
      <c r="AC6" s="1917" t="s">
        <v>1499</v>
      </c>
      <c r="AD6" s="1919"/>
      <c r="AE6" s="908" t="s">
        <v>1409</v>
      </c>
      <c r="AF6" s="908" t="s">
        <v>1410</v>
      </c>
      <c r="AG6" s="908" t="s">
        <v>1409</v>
      </c>
      <c r="AH6" s="909" t="s">
        <v>1498</v>
      </c>
      <c r="AI6" s="1920" t="s">
        <v>1499</v>
      </c>
      <c r="AJ6" s="1921"/>
      <c r="AK6" s="1923"/>
      <c r="AL6" s="1218" t="s">
        <v>1425</v>
      </c>
      <c r="AM6" s="907" t="s">
        <v>1426</v>
      </c>
      <c r="AN6" s="907" t="s">
        <v>1427</v>
      </c>
      <c r="AO6" s="907" t="s">
        <v>1428</v>
      </c>
      <c r="AP6" s="907" t="s">
        <v>1429</v>
      </c>
      <c r="AQ6" s="907" t="s">
        <v>1430</v>
      </c>
      <c r="AR6" s="907" t="s">
        <v>1431</v>
      </c>
      <c r="AS6" s="907" t="s">
        <v>1432</v>
      </c>
      <c r="AT6" s="907" t="s">
        <v>1433</v>
      </c>
      <c r="AU6" s="907" t="s">
        <v>1434</v>
      </c>
      <c r="AV6" s="907" t="s">
        <v>1435</v>
      </c>
      <c r="AW6" s="1217" t="s">
        <v>1500</v>
      </c>
      <c r="AX6" s="1217" t="s">
        <v>1436</v>
      </c>
      <c r="AY6" s="1217" t="s">
        <v>1501</v>
      </c>
      <c r="AZ6" s="1217" t="s">
        <v>1502</v>
      </c>
      <c r="BA6" s="910"/>
      <c r="BB6" s="1926"/>
      <c r="BC6" s="1224" t="s">
        <v>1437</v>
      </c>
      <c r="BD6" s="1224" t="s">
        <v>1438</v>
      </c>
      <c r="BE6" s="911" t="s">
        <v>1439</v>
      </c>
      <c r="BF6" s="1899"/>
      <c r="BG6" s="908" t="s">
        <v>1503</v>
      </c>
      <c r="BH6" s="908" t="s">
        <v>1504</v>
      </c>
      <c r="BI6" s="908" t="s">
        <v>1505</v>
      </c>
      <c r="BJ6" s="1219" t="s">
        <v>1504</v>
      </c>
      <c r="BK6" s="1915"/>
    </row>
    <row r="7" spans="1:63" s="905" customFormat="1" ht="48.6">
      <c r="A7" s="1225"/>
      <c r="B7" s="906"/>
      <c r="C7" s="906"/>
      <c r="D7" s="906"/>
      <c r="E7" s="906"/>
      <c r="F7" s="1917"/>
      <c r="G7" s="1220"/>
      <c r="H7" s="1227" t="s">
        <v>1506</v>
      </c>
      <c r="I7" s="908"/>
      <c r="J7" s="1221"/>
      <c r="K7" s="1227" t="s">
        <v>1506</v>
      </c>
      <c r="L7" s="1221"/>
      <c r="M7" s="1221"/>
      <c r="N7" s="1221"/>
      <c r="O7" s="1221"/>
      <c r="P7" s="1227" t="s">
        <v>1506</v>
      </c>
      <c r="Q7" s="1221"/>
      <c r="R7" s="1221"/>
      <c r="S7" s="1221"/>
      <c r="T7" s="1227" t="s">
        <v>1506</v>
      </c>
      <c r="U7" s="1221"/>
      <c r="V7" s="1221"/>
      <c r="W7" s="1221"/>
      <c r="X7" s="1221"/>
      <c r="Y7" s="1221"/>
      <c r="Z7" s="1221"/>
      <c r="AA7" s="1221"/>
      <c r="AB7" s="1221"/>
      <c r="AC7" s="1221"/>
      <c r="AD7" s="1227" t="s">
        <v>1506</v>
      </c>
      <c r="AE7" s="1221"/>
      <c r="AF7" s="1221"/>
      <c r="AG7" s="1221"/>
      <c r="AH7" s="1228"/>
      <c r="AI7" s="1221"/>
      <c r="AJ7" s="1227" t="s">
        <v>1506</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公益財団法人　日本生命済生会　日本生命病院</v>
      </c>
      <c r="B8" s="1230">
        <f>'様式4（全般事項）'!R209</f>
        <v>1727</v>
      </c>
      <c r="C8" s="1231">
        <f>'様式4（全般事項）'!R210</f>
        <v>18.482448630136986</v>
      </c>
      <c r="D8" s="1230">
        <f>'様式４(機能別)'!J212</f>
        <v>897</v>
      </c>
      <c r="E8" s="1230">
        <f>'様式４(機能別)'!J213</f>
        <v>466</v>
      </c>
      <c r="F8" s="1230">
        <f>'様式4（全般事項）'!R231</f>
        <v>15</v>
      </c>
      <c r="G8" s="1230">
        <f>'様式4（全般事項）'!R232</f>
        <v>56</v>
      </c>
      <c r="H8" s="1230">
        <f>'様式4（全般事項）'!R233</f>
        <v>0</v>
      </c>
      <c r="I8" s="1230">
        <f>'様式4（全般事項）'!R235</f>
        <v>1</v>
      </c>
      <c r="J8" s="1230">
        <f>'様式4（全般事項）'!R236</f>
        <v>17</v>
      </c>
      <c r="K8" s="1230">
        <f>'様式4（全般事項）'!R237</f>
        <v>0</v>
      </c>
      <c r="L8" s="1230">
        <f>'様式4（全般事項）'!R238</f>
        <v>1</v>
      </c>
      <c r="M8" s="1230">
        <f>'様式4（全般事項）'!R239</f>
        <v>27</v>
      </c>
      <c r="N8" s="1230">
        <f>'様式4（全般事項）'!R226</f>
        <v>7</v>
      </c>
      <c r="O8" s="1230">
        <f>'様式4（全般事項）'!R227</f>
        <v>52</v>
      </c>
      <c r="P8" s="1230">
        <f>'様式4（全般事項）'!R228</f>
        <v>30</v>
      </c>
      <c r="Q8" s="1230">
        <f>'様式4（全般事項）'!R229</f>
        <v>8</v>
      </c>
      <c r="R8" s="1230">
        <f>'様式4（全般事項）'!R251</f>
        <v>2</v>
      </c>
      <c r="S8" s="1230">
        <f>'様式4（全般事項）'!R252</f>
        <v>4</v>
      </c>
      <c r="T8" s="1230">
        <f>'様式4（全般事項）'!R253</f>
        <v>0</v>
      </c>
      <c r="U8" s="1230">
        <f>'様式4（全般事項）'!R254</f>
        <v>0</v>
      </c>
      <c r="V8" s="1230">
        <f>'様式4（全般事項）'!R255</f>
        <v>1</v>
      </c>
      <c r="W8" s="1230">
        <f>'様式4（全般事項）'!R241</f>
        <v>26</v>
      </c>
      <c r="X8" s="1230">
        <f>'様式4（全般事項）'!R242</f>
        <v>0</v>
      </c>
      <c r="Y8" s="1230">
        <f>'様式4（全般事項）'!R243</f>
        <v>3</v>
      </c>
      <c r="Z8" s="1230">
        <f>'様式4（全般事項）'!R244</f>
        <v>10</v>
      </c>
      <c r="AA8" s="1230">
        <f>'様式4（全般事項）'!R245</f>
        <v>0</v>
      </c>
      <c r="AB8" s="1230">
        <f>'様式4（全般事項）'!R247</f>
        <v>0</v>
      </c>
      <c r="AC8" s="1230">
        <f>'様式4（全般事項）'!R248</f>
        <v>23</v>
      </c>
      <c r="AD8" s="1230">
        <f>'様式4（全般事項）'!R249</f>
        <v>23</v>
      </c>
      <c r="AE8" s="1230">
        <f>'様式4（全般事項）'!R257</f>
        <v>1</v>
      </c>
      <c r="AF8" s="1230">
        <f>'様式4（全般事項）'!R258</f>
        <v>0</v>
      </c>
      <c r="AG8" s="1230">
        <f>'様式4（全般事項）'!R260</f>
        <v>0</v>
      </c>
      <c r="AH8" s="1230">
        <f>'様式4（全般事項）'!R262</f>
        <v>1</v>
      </c>
      <c r="AI8" s="1230">
        <f>'様式4（全般事項）'!R263</f>
        <v>0</v>
      </c>
      <c r="AJ8" s="1230">
        <f>'様式4（全般事項）'!R264</f>
        <v>0</v>
      </c>
      <c r="AK8" s="1232">
        <v>252</v>
      </c>
      <c r="AL8" s="1230">
        <f>'様式4（全般事項）'!R268</f>
        <v>252</v>
      </c>
      <c r="AM8" s="1230">
        <f>'様式4（全般事項）'!R269</f>
        <v>6</v>
      </c>
      <c r="AN8" s="1230">
        <f>'様式4（全般事項）'!R270</f>
        <v>10</v>
      </c>
      <c r="AO8" s="1230">
        <f>'様式4（全般事項）'!R271</f>
        <v>105</v>
      </c>
      <c r="AP8" s="1230">
        <f>'様式4（全般事項）'!R272</f>
        <v>0</v>
      </c>
      <c r="AQ8" s="1230">
        <f>'様式4（全般事項）'!R273</f>
        <v>0</v>
      </c>
      <c r="AR8" s="1230">
        <f>'様式4（全般事項）'!R274</f>
        <v>1</v>
      </c>
      <c r="AS8" s="1230">
        <f>'様式4（全般事項）'!R277</f>
        <v>50</v>
      </c>
      <c r="AT8" s="1230">
        <f>'様式4（全般事項）'!R278</f>
        <v>1</v>
      </c>
      <c r="AU8" s="1230">
        <f>'様式4（全般事項）'!R279</f>
        <v>2</v>
      </c>
      <c r="AV8" s="1230">
        <f>'様式4（全般事項）'!R280</f>
        <v>0</v>
      </c>
      <c r="AW8" s="1230">
        <f>'様式4（全般事項）'!R283</f>
        <v>0</v>
      </c>
      <c r="AX8" s="1230">
        <f>'様式4（全般事項）'!R284</f>
        <v>0</v>
      </c>
      <c r="AY8" s="1230">
        <f>'様式4（全般事項）'!R281</f>
        <v>22</v>
      </c>
      <c r="AZ8" s="1230">
        <f>'様式4（全般事項）'!R282</f>
        <v>31</v>
      </c>
      <c r="BA8" s="1230">
        <f>'様式４(機能別)'!J214</f>
        <v>922</v>
      </c>
      <c r="BB8" s="1230">
        <f>'様式４(機能別)'!J216</f>
        <v>240</v>
      </c>
      <c r="BC8" s="1230">
        <f>'様式4（全般事項）'!R286</f>
        <v>211</v>
      </c>
      <c r="BD8" s="1230">
        <f>'様式4（全般事項）'!R287</f>
        <v>22</v>
      </c>
      <c r="BE8" s="1230">
        <f>'様式4（全般事項）'!R288</f>
        <v>60</v>
      </c>
      <c r="BF8" s="1230">
        <f>別紙11相談内容!C8</f>
        <v>3500</v>
      </c>
      <c r="BG8" s="1232">
        <v>78</v>
      </c>
      <c r="BH8" s="1230">
        <f>BG8*12</f>
        <v>936</v>
      </c>
      <c r="BI8" s="1232">
        <v>18</v>
      </c>
      <c r="BJ8" s="1230">
        <f>BI8*12</f>
        <v>216</v>
      </c>
      <c r="BK8" s="1231">
        <f>'様式４(機能別)'!J217</f>
        <v>2</v>
      </c>
    </row>
    <row r="9" spans="1:63" ht="76.2" customHeight="1" thickBot="1">
      <c r="A9" s="1034">
        <v>56</v>
      </c>
      <c r="B9" s="1230">
        <f>IFERROR(VLOOKUP(別紙22診療実績とりまとめ!$A$9,前年度診療実績!$A$7:$BL$71,3,TRUE),"")</f>
        <v>1671</v>
      </c>
      <c r="C9" s="1233">
        <f>IFERROR(VLOOKUP(別紙22診療実績とりまとめ!$A$9,前年度診療実績!$A$7:$BL$71,4,TRUE),"")</f>
        <v>18.527552943785341</v>
      </c>
      <c r="D9" s="1230">
        <f>IFERROR(VLOOKUP(別紙22診療実績とりまとめ!$A$9,前年度診療実績!$A$7:$BL$71,5,TRUE),"")</f>
        <v>857</v>
      </c>
      <c r="E9" s="1230">
        <f>IFERROR(VLOOKUP(別紙22診療実績とりまとめ!$A$9,前年度診療実績!$A$7:$BL$71,6,TRUE),"")</f>
        <v>453</v>
      </c>
      <c r="F9" s="1230">
        <f>IFERROR(VLOOKUP(別紙22診療実績とりまとめ!$A$9,前年度診療実績!$A$7:$BL$71,7,TRUE),"")</f>
        <v>18</v>
      </c>
      <c r="G9" s="1230">
        <f>IFERROR(VLOOKUP(別紙22診療実績とりまとめ!$A$9,前年度診療実績!$A$7:$BL$71,8,TRUE),"")</f>
        <v>43</v>
      </c>
      <c r="H9" s="1230">
        <f>IFERROR(VLOOKUP(別紙22診療実績とりまとめ!$A$9,前年度診療実績!$A$7:$BL$71,9,TRUE),"")</f>
        <v>0</v>
      </c>
      <c r="I9" s="1230">
        <f>IFERROR(VLOOKUP(別紙22診療実績とりまとめ!$A$9,前年度診療実績!$A$7:$BL$71,10,TRUE),"")</f>
        <v>5</v>
      </c>
      <c r="J9" s="1230">
        <f>IFERROR(VLOOKUP(別紙22診療実績とりまとめ!$A$9,前年度診療実績!$A$7:$BL$71,11,TRUE),"")</f>
        <v>16</v>
      </c>
      <c r="K9" s="1230">
        <f>IFERROR(VLOOKUP(別紙22診療実績とりまとめ!$A$9,前年度診療実績!$A$7:$BL$71,12,TRUE),"")</f>
        <v>0</v>
      </c>
      <c r="L9" s="1230">
        <f>IFERROR(VLOOKUP(別紙22診療実績とりまとめ!$A$9,前年度診療実績!$A$7:$BL$71,13,TRUE),"")</f>
        <v>0</v>
      </c>
      <c r="M9" s="1230">
        <f>IFERROR(VLOOKUP(別紙22診療実績とりまとめ!$A$9,前年度診療実績!$A$7:$BL$71,14,TRUE),"")</f>
        <v>22</v>
      </c>
      <c r="N9" s="1230">
        <f>IFERROR(VLOOKUP(別紙22診療実績とりまとめ!$A$9,前年度診療実績!$A$7:$BL$71,15,TRUE),"")</f>
        <v>6</v>
      </c>
      <c r="O9" s="1230">
        <f>IFERROR(VLOOKUP(別紙22診療実績とりまとめ!$A$9,前年度診療実績!$A$7:$BL$71,16,TRUE),"")</f>
        <v>44</v>
      </c>
      <c r="P9" s="1230">
        <f>IFERROR(VLOOKUP(別紙22診療実績とりまとめ!$A$9,前年度診療実績!$A$7:$BL$71,17,TRUE),"")</f>
        <v>7</v>
      </c>
      <c r="Q9" s="1230">
        <f>IFERROR(VLOOKUP(別紙22診療実績とりまとめ!$A$9,前年度診療実績!$A$7:$BL$71,18,TRUE),"")</f>
        <v>467</v>
      </c>
      <c r="R9" s="1230">
        <f>IFERROR(VLOOKUP(別紙22診療実績とりまとめ!$A$9,前年度診療実績!$A$7:$BL$71,19,TRUE),"")</f>
        <v>1</v>
      </c>
      <c r="S9" s="1230">
        <f>IFERROR(VLOOKUP(別紙22診療実績とりまとめ!$A$9,前年度診療実績!$A$7:$BL$71,20,TRUE),"")</f>
        <v>2</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1</v>
      </c>
      <c r="W9" s="1230">
        <f>IFERROR(VLOOKUP(別紙22診療実績とりまとめ!$A$9,前年度診療実績!$A$7:$BL$71,24,TRUE),"")</f>
        <v>69</v>
      </c>
      <c r="X9" s="1230">
        <f>IFERROR(VLOOKUP(別紙22診療実績とりまとめ!$A$9,前年度診療実績!$A$7:$BL$71,25,TRUE),"")</f>
        <v>0</v>
      </c>
      <c r="Y9" s="1230">
        <f>IFERROR(VLOOKUP(別紙22診療実績とりまとめ!$A$9,前年度診療実績!$A$7:$BL$71,26,TRUE),"")</f>
        <v>12</v>
      </c>
      <c r="Z9" s="1230">
        <f>IFERROR(VLOOKUP(別紙22診療実績とりまとめ!$A$9,前年度診療実績!$A$7:$BL$71,27,TRUE),"")</f>
        <v>20</v>
      </c>
      <c r="AA9" s="1230">
        <f>IFERROR(VLOOKUP(別紙22診療実績とりまとめ!$A$9,前年度診療実績!$A$7:$BL$71,28,TRUE),"")</f>
        <v>0</v>
      </c>
      <c r="AB9" s="1230">
        <f>IFERROR(VLOOKUP(別紙22診療実績とりまとめ!$A$9,前年度診療実績!$A$7:$BL$71,29,TRUE),"")</f>
        <v>0</v>
      </c>
      <c r="AC9" s="1230">
        <f>IFERROR(VLOOKUP(別紙22診療実績とりまとめ!$A$9,前年度診療実績!$A$7:$BL$71,30,TRUE),"")</f>
        <v>34</v>
      </c>
      <c r="AD9" s="1230">
        <f>IFERROR(VLOOKUP(別紙22診療実績とりまとめ!$A$9,前年度診療実績!$A$7:$BL$71,31,TRUE),"")</f>
        <v>34</v>
      </c>
      <c r="AE9" s="1230">
        <f>IFERROR(VLOOKUP(別紙22診療実績とりまとめ!$A$9,前年度診療実績!$A$7:$BL$71,32,TRUE),"")</f>
        <v>2</v>
      </c>
      <c r="AF9" s="1230">
        <f>IFERROR(VLOOKUP(別紙22診療実績とりまとめ!$A$9,前年度診療実績!$A$7:$BL$71,33,TRUE),"")</f>
        <v>0</v>
      </c>
      <c r="AG9" s="1230">
        <f>IFERROR(VLOOKUP(別紙22診療実績とりまとめ!$A$9,前年度診療実績!$A$7:$BL$71,34,TRUE),"")</f>
        <v>1</v>
      </c>
      <c r="AH9" s="1230">
        <f>IFERROR(VLOOKUP(別紙22診療実績とりまとめ!$A$9,前年度診療実績!$A$7:$BL$71,35,TRUE),"")</f>
        <v>3</v>
      </c>
      <c r="AI9" s="1230">
        <f>IFERROR(VLOOKUP(別紙22診療実績とりまとめ!$A$9,前年度診療実績!$A$7:$BL$71,36,TRUE),"")</f>
        <v>1</v>
      </c>
      <c r="AJ9" s="1230">
        <f>IFERROR(VLOOKUP(別紙22診療実績とりまとめ!$A$9,前年度診療実績!$A$7:$BL$71,37,TRUE),"")</f>
        <v>0</v>
      </c>
      <c r="AK9" s="1230">
        <f>IFERROR(VLOOKUP(別紙22診療実績とりまとめ!$A$9,前年度診療実績!$A$7:$BL$71,38,TRUE),"")</f>
        <v>221</v>
      </c>
      <c r="AL9" s="1230">
        <f>IFERROR(VLOOKUP(別紙22診療実績とりまとめ!$A$9,前年度診療実績!$A$7:$BL$71,39,TRUE),"")</f>
        <v>221</v>
      </c>
      <c r="AM9" s="1230">
        <f>IFERROR(VLOOKUP(別紙22診療実績とりまとめ!$A$9,前年度診療実績!$A$7:$BL$71,40,TRUE),"")</f>
        <v>4</v>
      </c>
      <c r="AN9" s="1230">
        <f>IFERROR(VLOOKUP(別紙22診療実績とりまとめ!$A$9,前年度診療実績!$A$7:$BL$71,41,TRUE),"")</f>
        <v>22</v>
      </c>
      <c r="AO9" s="1230">
        <f>IFERROR(VLOOKUP(別紙22診療実績とりまとめ!$A$9,前年度診療実績!$A$7:$BL$71,42,TRUE),"")</f>
        <v>58</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1</v>
      </c>
      <c r="AS9" s="1230">
        <f>IFERROR(VLOOKUP(別紙22診療実績とりまとめ!$A$9,前年度診療実績!$A$7:$BL$71,46,TRUE),"")</f>
        <v>90</v>
      </c>
      <c r="AT9" s="1230">
        <f>IFERROR(VLOOKUP(別紙22診療実績とりまとめ!$A$9,前年度診療実績!$A$7:$BL$71,47,TRUE),"")</f>
        <v>1</v>
      </c>
      <c r="AU9" s="1230">
        <f>IFERROR(VLOOKUP(別紙22診療実績とりまとめ!$A$9,前年度診療実績!$A$7:$BL$71,48,TRUE),"")</f>
        <v>5</v>
      </c>
      <c r="AV9" s="1230">
        <f>IFERROR(VLOOKUP(別紙22診療実績とりまとめ!$A$9,前年度診療実績!$A$7:$BL$71,49,TRUE),"")</f>
        <v>6</v>
      </c>
      <c r="AW9" s="1230">
        <f>IFERROR(VLOOKUP(別紙22診療実績とりまとめ!$A$9,前年度診療実績!$A$7:$BL$71,50,TRUE),"")</f>
        <v>0</v>
      </c>
      <c r="AX9" s="1230">
        <f>IFERROR(VLOOKUP(別紙22診療実績とりまとめ!$A$9,前年度診療実績!$A$7:$BL$71,51,TRUE),"")</f>
        <v>1</v>
      </c>
      <c r="AY9" s="1230">
        <f>IFERROR(VLOOKUP(別紙22診療実績とりまとめ!$A$9,前年度診療実績!$A$7:$BL$71,52,TRUE),"")</f>
        <v>26</v>
      </c>
      <c r="AZ9" s="1230">
        <f>IFERROR(VLOOKUP(別紙22診療実績とりまとめ!$A$9,前年度診療実績!$A$7:$BL$71,53,TRUE),"")</f>
        <v>17</v>
      </c>
      <c r="BA9" s="1230">
        <f>IFERROR(VLOOKUP(別紙22診療実績とりまとめ!$A$9,前年度診療実績!$A$7:$BL$71,54,TRUE),"")</f>
        <v>990</v>
      </c>
      <c r="BB9" s="1230">
        <f>IFERROR(VLOOKUP(別紙22診療実績とりまとめ!$A$9,前年度診療実績!$A$7:$BL$71,55,TRUE),"")</f>
        <v>240</v>
      </c>
      <c r="BC9" s="1230">
        <f>IFERROR(VLOOKUP(別紙22診療実績とりまとめ!$A$9,前年度診療実績!$A$7:$BL$71,56,TRUE),"")</f>
        <v>388</v>
      </c>
      <c r="BD9" s="1230">
        <f>IFERROR(VLOOKUP(別紙22診療実績とりまとめ!$A$9,前年度診療実績!$A$7:$BL$71,57,TRUE),"")</f>
        <v>19</v>
      </c>
      <c r="BE9" s="1230">
        <f>IFERROR(VLOOKUP(別紙22診療実績とりまとめ!$A$9,前年度診療実績!$A$7:$BL$71,58,TRUE),"")</f>
        <v>63</v>
      </c>
      <c r="BF9" s="1230">
        <f>IFERROR(VLOOKUP(別紙22診療実績とりまとめ!$A$9,前年度診療実績!$A$7:$BL$71,59,TRUE),"")</f>
        <v>3452</v>
      </c>
      <c r="BG9" s="1230">
        <f>IFERROR(VLOOKUP(別紙22診療実績とりまとめ!$A$9,前年度診療実績!$A$7:$BL$71,60,TRUE),"")</f>
        <v>49</v>
      </c>
      <c r="BH9" s="1230">
        <f>IFERROR(VLOOKUP(別紙22診療実績とりまとめ!$A$9,前年度診療実績!$A$7:$BL$71,61,TRUE),"")</f>
        <v>588</v>
      </c>
      <c r="BI9" s="1230">
        <f>IFERROR(VLOOKUP(別紙22診療実績とりまとめ!$A$9,前年度診療実績!$A$7:$BL$71,62,TRUE),"")</f>
        <v>44</v>
      </c>
      <c r="BJ9" s="1230">
        <f>IFERROR(VLOOKUP(別紙22診療実績とりまとめ!$A$9,前年度診療実績!$A$7:$BL$71,63,TRUE),"")</f>
        <v>528</v>
      </c>
      <c r="BK9" s="1230">
        <f>IFERROR(VLOOKUP(別紙22診療実績とりまとめ!$A$9,前年度診療実績!$A$7:$BL$71,64,TRUE),"")</f>
        <v>2</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50" zoomScaleNormal="50" zoomScaleSheetLayoutView="50" zoomScalePageLayoutView="50" workbookViewId="0">
      <pane xSplit="2" ySplit="6" topLeftCell="C60" activePane="bottomRight" state="frozen"/>
      <selection sqref="A1:W1"/>
      <selection pane="topRight" sqref="A1:W1"/>
      <selection pane="bottomLeft" sqref="A1:W1"/>
      <selection pane="bottomRight" activeCell="B62" sqref="B62"/>
    </sheetView>
  </sheetViews>
  <sheetFormatPr defaultColWidth="8.88671875" defaultRowHeight="14.4" outlineLevelCol="1"/>
  <cols>
    <col min="1" max="1" width="8.88671875" style="134"/>
    <col min="2" max="2" width="47.109375" style="914" bestFit="1" customWidth="1"/>
    <col min="3" max="3" width="18" style="134" customWidth="1"/>
    <col min="4" max="4" width="13.33203125" style="915" customWidth="1"/>
    <col min="5" max="5" width="16.109375" style="134" customWidth="1"/>
    <col min="6" max="6" width="15.88671875" style="134" customWidth="1"/>
    <col min="7" max="7" width="15.6640625" style="134" customWidth="1" outlineLevel="1"/>
    <col min="8" max="8" width="13.21875" style="134" customWidth="1" outlineLevel="1"/>
    <col min="9" max="9" width="11.33203125" style="134" customWidth="1" outlineLevel="1"/>
    <col min="10" max="10" width="10.109375" style="134" customWidth="1" outlineLevel="1"/>
    <col min="11" max="12" width="11.109375" style="134" customWidth="1" outlineLevel="1"/>
    <col min="13" max="13" width="10.109375" style="134" customWidth="1" outlineLevel="1"/>
    <col min="14" max="14" width="18.44140625" style="134" customWidth="1" outlineLevel="1"/>
    <col min="15" max="15" width="10" style="134" customWidth="1" outlineLevel="1"/>
    <col min="16" max="17" width="10.6640625" style="134" customWidth="1" outlineLevel="1"/>
    <col min="18" max="18" width="11.109375" style="134" customWidth="1" outlineLevel="1"/>
    <col min="19" max="23" width="11.6640625" style="134" customWidth="1" outlineLevel="1"/>
    <col min="24" max="24" width="11.88671875" style="134" customWidth="1" outlineLevel="1"/>
    <col min="25" max="25" width="11" style="134" customWidth="1" outlineLevel="1"/>
    <col min="26" max="26" width="9.109375" style="134" customWidth="1" outlineLevel="1"/>
    <col min="27" max="27" width="12" style="134" customWidth="1" outlineLevel="1"/>
    <col min="28" max="28" width="11.44140625" style="134" customWidth="1" outlineLevel="1"/>
    <col min="29" max="29" width="14.6640625" style="134" customWidth="1"/>
    <col min="30" max="37" width="11.44140625" style="134" customWidth="1" outlineLevel="1"/>
    <col min="38" max="39" width="16.33203125" style="134" customWidth="1" outlineLevel="1"/>
    <col min="40" max="43" width="11.44140625" style="134" customWidth="1" outlineLevel="1"/>
    <col min="44" max="44" width="15.109375" style="134" customWidth="1"/>
    <col min="45" max="48" width="13.109375" style="134" customWidth="1" outlineLevel="1"/>
    <col min="49" max="49" width="13.109375" style="134" customWidth="1"/>
    <col min="50" max="53" width="13.109375" style="134" customWidth="1" outlineLevel="1"/>
    <col min="54" max="54" width="15.6640625" style="134" customWidth="1" outlineLevel="1"/>
    <col min="55" max="55" width="12.33203125" style="134" customWidth="1"/>
    <col min="56" max="56" width="19.44140625" style="134" customWidth="1"/>
    <col min="57" max="57" width="12" style="134" customWidth="1"/>
    <col min="58" max="58" width="11.77734375" style="134" customWidth="1"/>
    <col min="59" max="59" width="15.6640625" style="134" customWidth="1"/>
    <col min="60" max="60" width="20.88671875" style="134" customWidth="1"/>
    <col min="61" max="61" width="17.77734375" style="134" customWidth="1"/>
    <col min="62" max="62" width="21.44140625" style="134" customWidth="1"/>
    <col min="63" max="63" width="15.33203125" style="134" customWidth="1"/>
    <col min="64" max="64" width="14.77734375" style="134" customWidth="1"/>
    <col min="65" max="16384" width="8.88671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50000000000003"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2" customHeight="1" thickBot="1">
      <c r="A3" s="1932" t="s">
        <v>1788</v>
      </c>
      <c r="B3" s="1927" t="s">
        <v>1388</v>
      </c>
      <c r="C3" s="1928" t="s">
        <v>1389</v>
      </c>
      <c r="D3" s="1929"/>
      <c r="E3" s="1202" t="s">
        <v>1390</v>
      </c>
      <c r="F3" s="1928" t="s">
        <v>1485</v>
      </c>
      <c r="G3" s="1928"/>
      <c r="H3" s="1928"/>
      <c r="I3" s="1928"/>
      <c r="J3" s="1928"/>
      <c r="K3" s="1928"/>
      <c r="L3" s="1928"/>
      <c r="M3" s="1928"/>
      <c r="N3" s="1928"/>
      <c r="O3" s="1928"/>
      <c r="P3" s="1928"/>
      <c r="Q3" s="1928"/>
      <c r="R3" s="1928"/>
      <c r="S3" s="1928"/>
      <c r="T3" s="1928"/>
      <c r="U3" s="1928"/>
      <c r="V3" s="1928"/>
      <c r="W3" s="1928"/>
      <c r="X3" s="1928"/>
      <c r="Y3" s="1928"/>
      <c r="Z3" s="1928"/>
      <c r="AA3" s="1928"/>
      <c r="AB3" s="1928"/>
      <c r="AC3" s="1928"/>
      <c r="AD3" s="1928"/>
      <c r="AE3" s="1928"/>
      <c r="AF3" s="1928"/>
      <c r="AG3" s="1928"/>
      <c r="AH3" s="1928"/>
      <c r="AI3" s="1928"/>
      <c r="AJ3" s="1928"/>
      <c r="AK3" s="1202"/>
      <c r="AL3" s="1928" t="s">
        <v>1391</v>
      </c>
      <c r="AM3" s="1928"/>
      <c r="AN3" s="1928"/>
      <c r="AO3" s="1928"/>
      <c r="AP3" s="1928"/>
      <c r="AQ3" s="1928"/>
      <c r="AR3" s="1928"/>
      <c r="AS3" s="1928"/>
      <c r="AT3" s="1928"/>
      <c r="AU3" s="1928"/>
      <c r="AV3" s="1928"/>
      <c r="AW3" s="1928"/>
      <c r="AX3" s="1928"/>
      <c r="AY3" s="1928"/>
      <c r="AZ3" s="1928"/>
      <c r="BA3" s="1928"/>
      <c r="BB3" s="1202" t="s">
        <v>859</v>
      </c>
      <c r="BC3" s="1928" t="s">
        <v>1392</v>
      </c>
      <c r="BD3" s="1928"/>
      <c r="BE3" s="1928"/>
      <c r="BF3" s="1928"/>
      <c r="BG3" s="1202" t="s">
        <v>1393</v>
      </c>
      <c r="BH3" s="1928" t="s">
        <v>1394</v>
      </c>
      <c r="BI3" s="1928"/>
      <c r="BJ3" s="1928"/>
      <c r="BK3" s="1928"/>
      <c r="BL3" s="1202" t="s">
        <v>1650</v>
      </c>
    </row>
    <row r="4" spans="1:64" s="905" customFormat="1" ht="43.2" customHeight="1" thickBot="1">
      <c r="A4" s="1932"/>
      <c r="B4" s="1927"/>
      <c r="C4" s="1928" t="s">
        <v>1486</v>
      </c>
      <c r="D4" s="1928" t="s">
        <v>1487</v>
      </c>
      <c r="E4" s="1928" t="s">
        <v>1651</v>
      </c>
      <c r="F4" s="1928" t="s">
        <v>1652</v>
      </c>
      <c r="G4" s="1928" t="s">
        <v>1397</v>
      </c>
      <c r="H4" s="1928"/>
      <c r="I4" s="1928"/>
      <c r="J4" s="1928" t="s">
        <v>1398</v>
      </c>
      <c r="K4" s="1928"/>
      <c r="L4" s="1928"/>
      <c r="M4" s="1928"/>
      <c r="N4" s="1928"/>
      <c r="O4" s="1928" t="s">
        <v>1399</v>
      </c>
      <c r="P4" s="1928"/>
      <c r="Q4" s="1928"/>
      <c r="R4" s="1928"/>
      <c r="S4" s="1928" t="s">
        <v>1400</v>
      </c>
      <c r="T4" s="1928"/>
      <c r="U4" s="1928"/>
      <c r="V4" s="1928"/>
      <c r="W4" s="1928"/>
      <c r="X4" s="1928" t="s">
        <v>1401</v>
      </c>
      <c r="Y4" s="1928"/>
      <c r="Z4" s="1928"/>
      <c r="AA4" s="1928"/>
      <c r="AB4" s="1928"/>
      <c r="AC4" s="1928" t="s">
        <v>1489</v>
      </c>
      <c r="AD4" s="1928"/>
      <c r="AE4" s="1928"/>
      <c r="AF4" s="1928" t="s">
        <v>1490</v>
      </c>
      <c r="AG4" s="1928"/>
      <c r="AH4" s="1202" t="s">
        <v>1491</v>
      </c>
      <c r="AI4" s="1928" t="s">
        <v>1492</v>
      </c>
      <c r="AJ4" s="1928"/>
      <c r="AK4" s="1928"/>
      <c r="AL4" s="1928" t="s">
        <v>1402</v>
      </c>
      <c r="AM4" s="1928" t="s">
        <v>1403</v>
      </c>
      <c r="AN4" s="1928"/>
      <c r="AO4" s="1928"/>
      <c r="AP4" s="1928"/>
      <c r="AQ4" s="1928"/>
      <c r="AR4" s="1928"/>
      <c r="AS4" s="1928"/>
      <c r="AT4" s="1928" t="s">
        <v>1404</v>
      </c>
      <c r="AU4" s="1928"/>
      <c r="AV4" s="1928"/>
      <c r="AW4" s="1928"/>
      <c r="AX4" s="1928"/>
      <c r="AY4" s="1928"/>
      <c r="AZ4" s="1928"/>
      <c r="BA4" s="1928"/>
      <c r="BB4" s="1928" t="s">
        <v>1653</v>
      </c>
      <c r="BC4" s="1928" t="s">
        <v>1654</v>
      </c>
      <c r="BD4" s="1928" t="s">
        <v>1407</v>
      </c>
      <c r="BE4" s="1928"/>
      <c r="BF4" s="1928"/>
      <c r="BG4" s="1928" t="s">
        <v>1493</v>
      </c>
      <c r="BH4" s="1928" t="s">
        <v>1494</v>
      </c>
      <c r="BI4" s="1928"/>
      <c r="BJ4" s="1928" t="s">
        <v>1495</v>
      </c>
      <c r="BK4" s="1928"/>
      <c r="BL4" s="1931" t="s">
        <v>1655</v>
      </c>
    </row>
    <row r="5" spans="1:64" s="905" customFormat="1" ht="43.2" customHeight="1" thickBot="1">
      <c r="A5" s="1932"/>
      <c r="B5" s="1927"/>
      <c r="C5" s="1928"/>
      <c r="D5" s="1928"/>
      <c r="E5" s="1928"/>
      <c r="F5" s="1928"/>
      <c r="G5" s="1930" t="s">
        <v>1409</v>
      </c>
      <c r="H5" s="1930" t="s">
        <v>1496</v>
      </c>
      <c r="I5" s="1930"/>
      <c r="J5" s="1930" t="s">
        <v>1411</v>
      </c>
      <c r="K5" s="1930" t="s">
        <v>1412</v>
      </c>
      <c r="L5" s="1930"/>
      <c r="M5" s="1930" t="s">
        <v>1413</v>
      </c>
      <c r="N5" s="1930" t="s">
        <v>1414</v>
      </c>
      <c r="O5" s="1930" t="s">
        <v>1415</v>
      </c>
      <c r="P5" s="1930" t="s">
        <v>1416</v>
      </c>
      <c r="Q5" s="1930"/>
      <c r="R5" s="1930" t="s">
        <v>1417</v>
      </c>
      <c r="S5" s="1930" t="s">
        <v>1415</v>
      </c>
      <c r="T5" s="1930" t="s">
        <v>1418</v>
      </c>
      <c r="U5" s="1930"/>
      <c r="V5" s="1930" t="s">
        <v>1419</v>
      </c>
      <c r="W5" s="1930" t="s">
        <v>1420</v>
      </c>
      <c r="X5" s="1930" t="s">
        <v>1421</v>
      </c>
      <c r="Y5" s="1930" t="s">
        <v>1422</v>
      </c>
      <c r="Z5" s="1930" t="s">
        <v>1423</v>
      </c>
      <c r="AA5" s="1930" t="s">
        <v>1424</v>
      </c>
      <c r="AB5" s="1930" t="s">
        <v>1497</v>
      </c>
      <c r="AC5" s="1930" t="s">
        <v>1498</v>
      </c>
      <c r="AD5" s="1930" t="s">
        <v>1499</v>
      </c>
      <c r="AE5" s="1930"/>
      <c r="AF5" s="1930" t="s">
        <v>1409</v>
      </c>
      <c r="AG5" s="1930" t="s">
        <v>1410</v>
      </c>
      <c r="AH5" s="1930" t="s">
        <v>1409</v>
      </c>
      <c r="AI5" s="1930" t="s">
        <v>1498</v>
      </c>
      <c r="AJ5" s="1930" t="s">
        <v>1499</v>
      </c>
      <c r="AK5" s="1930"/>
      <c r="AL5" s="1928"/>
      <c r="AM5" s="1930" t="s">
        <v>1425</v>
      </c>
      <c r="AN5" s="1930" t="s">
        <v>1426</v>
      </c>
      <c r="AO5" s="1930" t="s">
        <v>1427</v>
      </c>
      <c r="AP5" s="1930" t="s">
        <v>1428</v>
      </c>
      <c r="AQ5" s="1930" t="s">
        <v>1429</v>
      </c>
      <c r="AR5" s="1930" t="s">
        <v>1430</v>
      </c>
      <c r="AS5" s="1930" t="s">
        <v>1431</v>
      </c>
      <c r="AT5" s="1930" t="s">
        <v>1432</v>
      </c>
      <c r="AU5" s="1930" t="s">
        <v>1433</v>
      </c>
      <c r="AV5" s="1930" t="s">
        <v>1434</v>
      </c>
      <c r="AW5" s="1930" t="s">
        <v>1435</v>
      </c>
      <c r="AX5" s="1930" t="s">
        <v>1500</v>
      </c>
      <c r="AY5" s="1930" t="s">
        <v>1436</v>
      </c>
      <c r="AZ5" s="1930" t="s">
        <v>1501</v>
      </c>
      <c r="BA5" s="1930" t="s">
        <v>1502</v>
      </c>
      <c r="BB5" s="1928"/>
      <c r="BC5" s="1928"/>
      <c r="BD5" s="1928" t="s">
        <v>1437</v>
      </c>
      <c r="BE5" s="1928" t="s">
        <v>1438</v>
      </c>
      <c r="BF5" s="1928" t="s">
        <v>1439</v>
      </c>
      <c r="BG5" s="1928"/>
      <c r="BH5" s="1930" t="s">
        <v>1503</v>
      </c>
      <c r="BI5" s="1930" t="s">
        <v>1504</v>
      </c>
      <c r="BJ5" s="1930" t="s">
        <v>1505</v>
      </c>
      <c r="BK5" s="1930" t="s">
        <v>1504</v>
      </c>
      <c r="BL5" s="1931"/>
    </row>
    <row r="6" spans="1:64" s="905" customFormat="1" ht="87" customHeight="1" thickBot="1">
      <c r="A6" s="1932"/>
      <c r="B6" s="1927"/>
      <c r="C6" s="1928"/>
      <c r="D6" s="1928"/>
      <c r="E6" s="1928"/>
      <c r="F6" s="1928"/>
      <c r="G6" s="1930"/>
      <c r="H6" s="1203"/>
      <c r="I6" s="1203" t="s">
        <v>1506</v>
      </c>
      <c r="J6" s="1930"/>
      <c r="K6" s="1203"/>
      <c r="L6" s="1203" t="s">
        <v>1506</v>
      </c>
      <c r="M6" s="1930"/>
      <c r="N6" s="1930"/>
      <c r="O6" s="1930"/>
      <c r="P6" s="1203"/>
      <c r="Q6" s="1203" t="s">
        <v>1506</v>
      </c>
      <c r="R6" s="1930"/>
      <c r="S6" s="1930"/>
      <c r="T6" s="1203"/>
      <c r="U6" s="1203" t="s">
        <v>1506</v>
      </c>
      <c r="V6" s="1930"/>
      <c r="W6" s="1930"/>
      <c r="X6" s="1930"/>
      <c r="Y6" s="1930"/>
      <c r="Z6" s="1930"/>
      <c r="AA6" s="1930"/>
      <c r="AB6" s="1930"/>
      <c r="AC6" s="1930"/>
      <c r="AD6" s="1203"/>
      <c r="AE6" s="1203" t="s">
        <v>1506</v>
      </c>
      <c r="AF6" s="1930"/>
      <c r="AG6" s="1930"/>
      <c r="AH6" s="1930"/>
      <c r="AI6" s="1930"/>
      <c r="AJ6" s="1203"/>
      <c r="AK6" s="1203" t="s">
        <v>1506</v>
      </c>
      <c r="AL6" s="1928"/>
      <c r="AM6" s="1930"/>
      <c r="AN6" s="1930"/>
      <c r="AO6" s="1930"/>
      <c r="AP6" s="1930"/>
      <c r="AQ6" s="1930"/>
      <c r="AR6" s="1930"/>
      <c r="AS6" s="1930"/>
      <c r="AT6" s="1930"/>
      <c r="AU6" s="1930"/>
      <c r="AV6" s="1930"/>
      <c r="AW6" s="1930"/>
      <c r="AX6" s="1930"/>
      <c r="AY6" s="1930"/>
      <c r="AZ6" s="1930"/>
      <c r="BA6" s="1930"/>
      <c r="BB6" s="1928"/>
      <c r="BC6" s="1928"/>
      <c r="BD6" s="1928"/>
      <c r="BE6" s="1928"/>
      <c r="BF6" s="1928"/>
      <c r="BG6" s="1928"/>
      <c r="BH6" s="1930"/>
      <c r="BI6" s="1930"/>
      <c r="BJ6" s="1930"/>
      <c r="BK6" s="1930"/>
      <c r="BL6" s="1931"/>
    </row>
    <row r="7" spans="1:64" s="1166" customFormat="1" ht="132" customHeight="1" thickBot="1">
      <c r="A7" s="1204">
        <v>1</v>
      </c>
      <c r="B7" s="1170" t="s">
        <v>1656</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1657</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 customHeight="1" thickBot="1">
      <c r="A9" s="1204">
        <v>3</v>
      </c>
      <c r="B9" s="1170" t="s">
        <v>1658</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 customHeight="1" thickBot="1">
      <c r="A10" s="1204">
        <v>4</v>
      </c>
      <c r="B10" s="1182" t="s">
        <v>1659</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 customHeight="1" thickBot="1">
      <c r="A11" s="1204">
        <v>5</v>
      </c>
      <c r="B11" s="1182" t="s">
        <v>1660</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 customHeight="1" thickBot="1">
      <c r="A12" s="1204">
        <v>6</v>
      </c>
      <c r="B12" s="1182" t="s">
        <v>1661</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 customHeight="1" thickBot="1">
      <c r="A13" s="1204">
        <v>7</v>
      </c>
      <c r="B13" s="1182" t="s">
        <v>1662</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 customHeight="1" thickBot="1">
      <c r="A14" s="1204">
        <v>8</v>
      </c>
      <c r="B14" s="1182" t="s">
        <v>1663</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1664</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 customHeight="1" thickBot="1">
      <c r="A16" s="1204">
        <v>10</v>
      </c>
      <c r="B16" s="1170" t="s">
        <v>1665</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 customHeight="1" thickBot="1">
      <c r="A17" s="1204">
        <v>11</v>
      </c>
      <c r="B17" s="1182" t="s">
        <v>1666</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 customHeight="1" thickBot="1">
      <c r="A18" s="1204">
        <v>12</v>
      </c>
      <c r="B18" s="1170" t="s">
        <v>1667</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 customHeight="1" thickBot="1">
      <c r="A19" s="1204">
        <v>13</v>
      </c>
      <c r="B19" s="1170" t="s">
        <v>1668</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1669</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 customHeight="1" thickBot="1">
      <c r="A21" s="1204">
        <v>15</v>
      </c>
      <c r="B21" s="1170" t="s">
        <v>1670</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 customHeight="1" thickBot="1">
      <c r="A22" s="1204">
        <v>16</v>
      </c>
      <c r="B22" s="1170" t="s">
        <v>1671</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 customHeight="1" thickBot="1">
      <c r="A23" s="1204">
        <v>17</v>
      </c>
      <c r="B23" s="1170" t="s">
        <v>1672</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 customHeight="1" thickBot="1">
      <c r="A24" s="1204">
        <v>18</v>
      </c>
      <c r="B24" s="1170" t="s">
        <v>1673</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1674</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1675</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 customHeight="1" thickBot="1">
      <c r="A27" s="1204">
        <v>21</v>
      </c>
      <c r="B27" s="1182" t="s">
        <v>1676</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 customHeight="1" thickBot="1">
      <c r="A28" s="1204">
        <v>22</v>
      </c>
      <c r="B28" s="1170" t="s">
        <v>1677</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 customHeight="1" thickBot="1">
      <c r="A29" s="1204">
        <v>23</v>
      </c>
      <c r="B29" s="1170" t="s">
        <v>1678</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 customHeight="1" thickBot="1">
      <c r="A30" s="1204">
        <v>24</v>
      </c>
      <c r="B30" s="1170" t="s">
        <v>1679</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1680</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1681</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 customHeight="1" thickBot="1">
      <c r="A33" s="1204">
        <v>27</v>
      </c>
      <c r="B33" s="1182" t="s">
        <v>1682</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 customHeight="1" thickBot="1">
      <c r="A34" s="1204">
        <v>28</v>
      </c>
      <c r="B34" s="1170" t="s">
        <v>1683</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 customHeight="1" thickBot="1">
      <c r="A35" s="1204">
        <v>29</v>
      </c>
      <c r="B35" s="1170" t="s">
        <v>1684</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 customHeight="1" thickBot="1">
      <c r="A36" s="1204">
        <v>30</v>
      </c>
      <c r="B36" s="1170" t="s">
        <v>1685</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 customHeight="1" thickBot="1">
      <c r="A37" s="1204">
        <v>31</v>
      </c>
      <c r="B37" s="1182" t="s">
        <v>1686</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1687</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1688</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 customHeight="1" thickBot="1">
      <c r="A40" s="1204">
        <v>34</v>
      </c>
      <c r="B40" s="1199" t="s">
        <v>1689</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 customHeight="1" thickBot="1">
      <c r="A41" s="1204">
        <v>35</v>
      </c>
      <c r="B41" s="1200" t="s">
        <v>1690</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 customHeight="1" thickBot="1">
      <c r="A42" s="1204">
        <v>36</v>
      </c>
      <c r="B42" s="1200" t="s">
        <v>1691</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1692</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1693</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 customHeight="1" thickBot="1">
      <c r="A45" s="1204">
        <v>39</v>
      </c>
      <c r="B45" s="1170" t="s">
        <v>1694</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 customHeight="1" thickBot="1">
      <c r="A46" s="1204">
        <v>40</v>
      </c>
      <c r="B46" s="1170" t="s">
        <v>1695</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 customHeight="1" thickBot="1">
      <c r="A47" s="1204">
        <v>41</v>
      </c>
      <c r="B47" s="1170" t="s">
        <v>1696</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 customHeight="1" thickBot="1">
      <c r="A48" s="1204">
        <v>42</v>
      </c>
      <c r="B48" s="1170" t="s">
        <v>1697</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1698</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1699</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1700</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1701</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1702</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1703</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 customHeight="1" thickBot="1">
      <c r="A55" s="1204">
        <v>49</v>
      </c>
      <c r="B55" s="1182" t="s">
        <v>1704</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 customHeight="1" thickBot="1">
      <c r="A56" s="1204">
        <v>50</v>
      </c>
      <c r="B56" s="1182" t="s">
        <v>1705</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 customHeight="1" thickBot="1">
      <c r="A57" s="1204">
        <v>51</v>
      </c>
      <c r="B57" s="1170" t="s">
        <v>1706</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 customHeight="1" thickBot="1">
      <c r="A58" s="1204">
        <v>52</v>
      </c>
      <c r="B58" s="1182" t="s">
        <v>1707</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 customHeight="1" thickBot="1">
      <c r="A59" s="1204">
        <v>53</v>
      </c>
      <c r="B59" s="1182" t="s">
        <v>1708</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 customHeight="1" thickBot="1">
      <c r="A60" s="1204">
        <v>54</v>
      </c>
      <c r="B60" s="1182" t="s">
        <v>1709</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 customHeight="1" thickBot="1">
      <c r="A61" s="1204">
        <v>55</v>
      </c>
      <c r="B61" s="1170" t="s">
        <v>1710</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 customHeight="1" thickBot="1">
      <c r="A62" s="1204">
        <v>56</v>
      </c>
      <c r="B62" s="1182" t="s">
        <v>1711</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 customHeight="1" thickBot="1">
      <c r="A63" s="1204">
        <v>57</v>
      </c>
      <c r="B63" s="1182" t="s">
        <v>1712</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 customHeight="1" thickBot="1">
      <c r="A64" s="1204">
        <v>58</v>
      </c>
      <c r="B64" s="1170" t="s">
        <v>1713</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 customHeight="1" thickBot="1">
      <c r="A65" s="1204">
        <v>59</v>
      </c>
      <c r="B65" s="1182" t="s">
        <v>1714</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 customHeight="1" thickBot="1">
      <c r="A66" s="1204">
        <v>60</v>
      </c>
      <c r="B66" s="1182" t="s">
        <v>1715</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 customHeight="1" thickBot="1">
      <c r="A67" s="1204">
        <v>61</v>
      </c>
      <c r="B67" s="1170" t="s">
        <v>1716</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 customHeight="1" thickBot="1">
      <c r="A68" s="1204">
        <v>62</v>
      </c>
      <c r="B68" s="1182" t="s">
        <v>1717</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 customHeight="1" thickBot="1">
      <c r="A69" s="1204">
        <v>63</v>
      </c>
      <c r="B69" s="1170" t="s">
        <v>1718</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 customHeight="1" thickBot="1">
      <c r="A70" s="1204">
        <v>64</v>
      </c>
      <c r="B70" s="1182" t="s">
        <v>1719</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 customHeight="1" thickBot="1">
      <c r="A71" s="1204">
        <v>65</v>
      </c>
      <c r="B71" s="1170" t="s">
        <v>1720</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B1" zoomScaleNormal="115" zoomScaleSheetLayoutView="100" workbookViewId="0">
      <selection activeCell="H20" sqref="H20:H21"/>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1572</v>
      </c>
      <c r="C1" s="17"/>
      <c r="D1" s="17"/>
      <c r="E1" s="17"/>
      <c r="G1" s="32"/>
      <c r="H1" s="150"/>
      <c r="I1" s="88"/>
      <c r="J1" s="88"/>
      <c r="K1" s="88"/>
      <c r="L1" s="88"/>
      <c r="M1" s="88"/>
      <c r="N1" s="88"/>
      <c r="O1" s="88"/>
    </row>
    <row r="2" spans="1:15" ht="24" customHeight="1" thickBot="1">
      <c r="D2" s="10" t="s">
        <v>180</v>
      </c>
      <c r="E2" s="1261" t="s">
        <v>1794</v>
      </c>
      <c r="F2" s="1262"/>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1781</v>
      </c>
      <c r="E4" s="1264" t="str">
        <f>'様式4（全般事項）'!G5</f>
        <v>大阪府がん診療拠点病院</v>
      </c>
      <c r="F4" s="1265"/>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29" t="s">
        <v>1635</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63" t="s">
        <v>189</v>
      </c>
      <c r="F12" s="1263"/>
      <c r="G12" s="14"/>
      <c r="H12" s="74"/>
      <c r="I12" s="51"/>
      <c r="J12" s="51"/>
      <c r="K12" s="51"/>
      <c r="L12" s="51"/>
      <c r="M12" s="51"/>
    </row>
    <row r="13" spans="1:15" s="26" customFormat="1" ht="28.8">
      <c r="A13" s="6"/>
      <c r="B13" s="27" t="s">
        <v>190</v>
      </c>
      <c r="C13" s="28" t="s">
        <v>191</v>
      </c>
      <c r="D13" s="69" t="s">
        <v>192</v>
      </c>
      <c r="E13" s="75" t="s">
        <v>193</v>
      </c>
      <c r="F13" s="929" t="s">
        <v>194</v>
      </c>
      <c r="G13" s="12"/>
      <c r="H13" s="74"/>
      <c r="I13" s="90"/>
      <c r="J13" s="90"/>
      <c r="K13" s="90"/>
      <c r="L13" s="90"/>
      <c r="M13" s="90"/>
    </row>
    <row r="14" spans="1:15" s="26" customFormat="1" ht="49.5" customHeight="1">
      <c r="A14" s="1266" t="s">
        <v>195</v>
      </c>
      <c r="B14" s="11" t="str">
        <f>IF(別紙1未充足要件!F2="","未入力",別紙1未充足要件!F2)</f>
        <v>不要</v>
      </c>
      <c r="C14" s="50"/>
      <c r="D14" s="6" t="s">
        <v>196</v>
      </c>
      <c r="E14" s="75" t="s">
        <v>197</v>
      </c>
      <c r="F14" s="930" t="s">
        <v>1574</v>
      </c>
      <c r="G14" s="12"/>
      <c r="H14" s="74"/>
      <c r="I14" s="90"/>
      <c r="J14" s="90"/>
      <c r="K14" s="90"/>
      <c r="L14" s="90"/>
      <c r="M14" s="90"/>
    </row>
    <row r="15" spans="1:15" s="26" customFormat="1" ht="15" customHeight="1">
      <c r="A15" s="1267"/>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 customHeight="1">
      <c r="A16" s="1267"/>
      <c r="B16" s="11" t="str">
        <f>IF(別紙3自施設で対応しないもの!K2="","未入力",別紙3自施設で対応しないもの!K2)</f>
        <v>入力済</v>
      </c>
      <c r="C16" s="50"/>
      <c r="D16" s="6" t="s">
        <v>201</v>
      </c>
      <c r="E16" s="75" t="s">
        <v>199</v>
      </c>
      <c r="F16" s="930" t="s">
        <v>1575</v>
      </c>
      <c r="G16" s="12"/>
      <c r="H16" s="74"/>
      <c r="I16" s="90"/>
      <c r="J16" s="90"/>
      <c r="K16" s="90"/>
      <c r="L16" s="90"/>
      <c r="M16" s="90"/>
    </row>
    <row r="17" spans="1:13" s="26" customFormat="1" ht="15" customHeight="1">
      <c r="A17" s="1267"/>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7"/>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7"/>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7"/>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7"/>
      <c r="B21" s="11" t="str">
        <f>IF(別紙8緩和メンバーと活動!F3="","未入力",別紙8緩和メンバーと活動!F3)</f>
        <v>入力済</v>
      </c>
      <c r="C21" s="50"/>
      <c r="D21" s="6" t="s">
        <v>210</v>
      </c>
      <c r="E21" s="75" t="s">
        <v>199</v>
      </c>
      <c r="F21" s="25" t="s">
        <v>1749</v>
      </c>
      <c r="G21" s="12"/>
      <c r="H21" s="74"/>
      <c r="I21" s="90"/>
      <c r="J21" s="90"/>
      <c r="K21" s="90"/>
      <c r="L21" s="90"/>
      <c r="M21" s="90"/>
    </row>
    <row r="22" spans="1:13" s="26" customFormat="1" ht="15" customHeight="1">
      <c r="A22" s="1267"/>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7"/>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7"/>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7"/>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7"/>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7"/>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7"/>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7"/>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7"/>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7"/>
      <c r="B31" s="11" t="str">
        <f>IF(別紙18チーム医療の提供体制!O2="","未入力",別紙18チーム医療の提供体制!O2)</f>
        <v>入力済</v>
      </c>
      <c r="C31" s="67"/>
      <c r="D31" s="6" t="s">
        <v>1567</v>
      </c>
      <c r="E31" s="75" t="s">
        <v>199</v>
      </c>
      <c r="F31" s="29" t="s">
        <v>230</v>
      </c>
      <c r="G31" s="12"/>
      <c r="H31" s="74"/>
      <c r="I31" s="90"/>
      <c r="J31" s="90"/>
      <c r="K31" s="90"/>
      <c r="L31" s="90"/>
      <c r="M31" s="90"/>
    </row>
    <row r="32" spans="1:13" s="26" customFormat="1" ht="15" customHeight="1">
      <c r="A32" s="1267"/>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7"/>
      <c r="B33" s="11" t="str">
        <f>IF(別紙20歯科との連携!I2="","未入力あり",別紙20歯科との連携!I2)</f>
        <v>入力済</v>
      </c>
      <c r="C33" s="68"/>
      <c r="D33" s="6" t="s">
        <v>231</v>
      </c>
      <c r="E33" s="75" t="s">
        <v>199</v>
      </c>
      <c r="F33" s="25" t="s">
        <v>1480</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1479</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1739</v>
      </c>
      <c r="E35" s="75" t="s">
        <v>199</v>
      </c>
      <c r="F35" s="25" t="s">
        <v>1721</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P5" sqref="P5:R5"/>
    </sheetView>
  </sheetViews>
  <sheetFormatPr defaultColWidth="9" defaultRowHeight="20.100000000000001" customHeight="1"/>
  <cols>
    <col min="1" max="1" width="1.88671875" style="181" customWidth="1"/>
    <col min="2" max="2" width="3.33203125" style="181" customWidth="1"/>
    <col min="3" max="3" width="6" style="181" customWidth="1"/>
    <col min="4" max="4" width="2.6640625" style="181" customWidth="1"/>
    <col min="5" max="5" width="2.88671875" style="181" customWidth="1"/>
    <col min="6" max="6" width="14.77734375" style="3" customWidth="1"/>
    <col min="7" max="7" width="37.77734375" style="182" customWidth="1"/>
    <col min="8" max="8" width="45.88671875" style="7" customWidth="1"/>
    <col min="9" max="9" width="10.6640625" style="183" customWidth="1"/>
    <col min="10" max="10" width="18.6640625" style="8" customWidth="1"/>
    <col min="11" max="11" width="2.33203125" style="8" customWidth="1"/>
    <col min="12" max="13" width="5.6640625" style="8" customWidth="1"/>
    <col min="14" max="14" width="7" style="8" customWidth="1"/>
    <col min="15" max="17" width="5.6640625" style="8" customWidth="1"/>
    <col min="18" max="18" width="10.6640625" style="183" customWidth="1"/>
    <col min="19" max="19" width="5.6640625" style="8" customWidth="1"/>
    <col min="20" max="20" width="10.6640625" style="3" customWidth="1"/>
    <col min="21" max="21" width="14.44140625" style="8" customWidth="1"/>
    <col min="22" max="22" width="6.33203125" style="42" customWidth="1"/>
    <col min="23" max="23" width="12.88671875" style="183" customWidth="1"/>
    <col min="24" max="24" width="4.6640625" style="3" customWidth="1"/>
    <col min="25" max="25" width="94" style="185" customWidth="1"/>
    <col min="26" max="26" width="0" style="3" hidden="1" customWidth="1"/>
    <col min="27" max="27" width="11.77734375" style="3" hidden="1" customWidth="1"/>
    <col min="28" max="29" width="0" style="3" hidden="1" customWidth="1"/>
    <col min="30" max="30" width="9" style="3"/>
    <col min="31" max="16384" width="9" style="181"/>
  </cols>
  <sheetData>
    <row r="1" spans="1:26" ht="17.25" customHeight="1">
      <c r="A1" s="3"/>
      <c r="U1" s="184"/>
      <c r="V1" s="1287" t="str">
        <f>IF(COUNTIF((W6:W320),"未入力あり"),"※このシートには未入力があります。「未入力あり」の行を確認してください。↓","✔チェック欄に未入力なし")</f>
        <v>✔チェック欄に未入力なし</v>
      </c>
      <c r="W1" s="1287"/>
    </row>
    <row r="2" spans="1:26" ht="28.5" customHeight="1">
      <c r="A2" s="1297" t="s">
        <v>1731</v>
      </c>
      <c r="B2" s="1297"/>
      <c r="C2" s="1297"/>
      <c r="D2" s="1297"/>
      <c r="E2" s="1297"/>
      <c r="F2" s="1297"/>
      <c r="G2" s="1297"/>
      <c r="H2" s="1297"/>
      <c r="I2" s="1297"/>
      <c r="J2" s="1297"/>
      <c r="K2" s="1297"/>
      <c r="L2" s="1297"/>
      <c r="M2" s="1297"/>
      <c r="N2" s="1297"/>
      <c r="O2" s="1297"/>
      <c r="P2" s="1297"/>
      <c r="Q2" s="1297"/>
      <c r="R2" s="1297"/>
      <c r="S2" s="1297"/>
      <c r="T2" s="1297"/>
      <c r="U2" s="1297"/>
      <c r="V2" s="1287"/>
      <c r="W2" s="1287"/>
      <c r="X2" s="181"/>
      <c r="Y2" s="186"/>
    </row>
    <row r="3" spans="1:26" ht="24.9" customHeight="1">
      <c r="A3" s="1304" t="s">
        <v>1722</v>
      </c>
      <c r="B3" s="1304"/>
      <c r="C3" s="1304"/>
      <c r="D3" s="1304"/>
      <c r="E3" s="1304"/>
      <c r="F3" s="1304"/>
      <c r="G3" s="1304"/>
      <c r="H3" s="1304"/>
      <c r="I3" s="1304"/>
      <c r="J3" s="1304"/>
      <c r="K3" s="1304"/>
      <c r="L3" s="1304"/>
      <c r="M3" s="1304"/>
      <c r="N3" s="1304"/>
      <c r="O3" s="1304"/>
      <c r="P3" s="1304"/>
      <c r="Q3" s="1304"/>
      <c r="R3" s="1304"/>
      <c r="S3" s="1304"/>
      <c r="T3" s="1304"/>
      <c r="U3" s="1304"/>
      <c r="V3" s="1287"/>
      <c r="W3" s="1287"/>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87"/>
      <c r="W4" s="1287"/>
      <c r="Y4" s="868"/>
    </row>
    <row r="5" spans="1:26" ht="25.5" customHeight="1" thickBot="1">
      <c r="A5" s="181" t="s">
        <v>1764</v>
      </c>
      <c r="G5" s="1214" t="s">
        <v>1793</v>
      </c>
      <c r="H5" s="3" t="s">
        <v>1784</v>
      </c>
      <c r="P5" s="1269" t="s">
        <v>1922</v>
      </c>
      <c r="Q5" s="1270"/>
      <c r="R5" s="1271"/>
      <c r="V5" s="1287"/>
      <c r="W5" s="1287"/>
      <c r="Y5" s="155"/>
    </row>
    <row r="6" spans="1:26" ht="20.100000000000001" customHeight="1" thickBot="1">
      <c r="B6" s="3"/>
      <c r="C6" s="3"/>
      <c r="D6" s="3"/>
      <c r="E6" s="3"/>
      <c r="G6" s="1214" t="s">
        <v>1793</v>
      </c>
      <c r="H6" s="181" t="s">
        <v>1783</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1785</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98" t="str">
        <f>表紙!E2</f>
        <v>公益財団法人　日本生命済生会　日本生命病院</v>
      </c>
      <c r="I11" s="1299"/>
      <c r="J11" s="1299"/>
      <c r="K11" s="1299"/>
      <c r="L11" s="1299"/>
      <c r="M11" s="1299"/>
      <c r="N11" s="1299"/>
      <c r="O11" s="1299"/>
      <c r="P11" s="1299"/>
      <c r="Q11" s="1299"/>
      <c r="R11" s="1299"/>
      <c r="S11" s="1299"/>
      <c r="T11" s="1300"/>
      <c r="U11" s="196"/>
      <c r="V11" s="42">
        <f>+ROW()</f>
        <v>11</v>
      </c>
      <c r="Y11" s="155"/>
    </row>
    <row r="12" spans="1:26" ht="16.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305" t="s">
        <v>1795</v>
      </c>
      <c r="I13" s="1306"/>
      <c r="J13" s="1306"/>
      <c r="K13" s="1306"/>
      <c r="L13" s="1306"/>
      <c r="M13" s="1306"/>
      <c r="N13" s="1306"/>
      <c r="O13" s="1306"/>
      <c r="P13" s="1306"/>
      <c r="Q13" s="1306"/>
      <c r="R13" s="1306"/>
      <c r="S13" s="1306"/>
      <c r="T13" s="1307"/>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86"/>
    </row>
    <row r="16" spans="1:26" ht="20.100000000000001" customHeight="1" thickBot="1">
      <c r="A16" s="205"/>
      <c r="B16" s="206" t="s">
        <v>240</v>
      </c>
      <c r="C16" s="206"/>
      <c r="D16" s="206"/>
      <c r="E16" s="206"/>
      <c r="F16" s="207"/>
      <c r="G16" s="214" t="s">
        <v>241</v>
      </c>
      <c r="H16" s="98" t="s">
        <v>1796</v>
      </c>
      <c r="I16" s="215"/>
      <c r="J16" s="215"/>
      <c r="K16" s="215"/>
      <c r="L16" s="215"/>
      <c r="M16" s="215"/>
      <c r="N16" s="215"/>
      <c r="O16" s="215"/>
      <c r="P16" s="215"/>
      <c r="Q16" s="215"/>
      <c r="R16" s="215"/>
      <c r="S16" s="215"/>
      <c r="T16" s="215"/>
      <c r="U16" s="213"/>
      <c r="V16" s="42">
        <f t="shared" si="0"/>
        <v>16</v>
      </c>
      <c r="Y16" s="155"/>
      <c r="Z16" s="1286"/>
    </row>
    <row r="17" spans="1:30" ht="20.100000000000001" customHeight="1" thickBot="1">
      <c r="A17" s="205"/>
      <c r="B17" s="206" t="s">
        <v>242</v>
      </c>
      <c r="C17" s="208"/>
      <c r="D17" s="208"/>
      <c r="E17" s="208"/>
      <c r="F17" s="207"/>
      <c r="G17" s="40"/>
      <c r="H17" s="99" t="s">
        <v>1797</v>
      </c>
      <c r="I17" s="1308" t="s">
        <v>1798</v>
      </c>
      <c r="J17" s="1309"/>
      <c r="K17" s="1309"/>
      <c r="L17" s="1309"/>
      <c r="M17" s="1309"/>
      <c r="N17" s="1309"/>
      <c r="O17" s="1309"/>
      <c r="P17" s="1309"/>
      <c r="Q17" s="1309"/>
      <c r="R17" s="1309"/>
      <c r="S17" s="1309"/>
      <c r="T17" s="1310"/>
      <c r="U17" s="213"/>
      <c r="V17" s="42">
        <f t="shared" si="0"/>
        <v>17</v>
      </c>
      <c r="Y17" s="155"/>
      <c r="Z17" s="1286"/>
    </row>
    <row r="18" spans="1:30" ht="21" customHeight="1" thickBot="1">
      <c r="A18" s="197"/>
      <c r="B18" s="198" t="s">
        <v>238</v>
      </c>
      <c r="C18" s="200"/>
      <c r="D18" s="200"/>
      <c r="E18" s="200"/>
      <c r="F18" s="199"/>
      <c r="G18" s="41"/>
      <c r="H18" s="1"/>
      <c r="I18" s="1288" t="s">
        <v>1799</v>
      </c>
      <c r="J18" s="1289"/>
      <c r="K18" s="1289"/>
      <c r="L18" s="1289"/>
      <c r="M18" s="1289"/>
      <c r="N18" s="1289"/>
      <c r="O18" s="1289"/>
      <c r="P18" s="1289"/>
      <c r="Q18" s="1289"/>
      <c r="R18" s="1289"/>
      <c r="S18" s="1289"/>
      <c r="T18" s="1290"/>
      <c r="U18" s="216"/>
      <c r="V18" s="42">
        <f t="shared" si="0"/>
        <v>18</v>
      </c>
      <c r="Y18" s="155"/>
      <c r="Z18" s="1286"/>
      <c r="AA18" s="181"/>
      <c r="AB18" s="181"/>
      <c r="AC18" s="181"/>
      <c r="AD18" s="181"/>
    </row>
    <row r="19" spans="1:30" ht="20.100000000000001" customHeight="1" thickBot="1">
      <c r="A19" s="205"/>
      <c r="B19" s="206" t="s">
        <v>243</v>
      </c>
      <c r="C19" s="208"/>
      <c r="D19" s="208"/>
      <c r="E19" s="208"/>
      <c r="F19" s="207"/>
      <c r="G19" s="208"/>
      <c r="H19" s="1291" t="s">
        <v>1800</v>
      </c>
      <c r="I19" s="1292"/>
      <c r="J19" s="1292"/>
      <c r="K19" s="1292"/>
      <c r="L19" s="1292"/>
      <c r="M19" s="1292"/>
      <c r="N19" s="1292"/>
      <c r="O19" s="1292"/>
      <c r="P19" s="1292"/>
      <c r="Q19" s="1292"/>
      <c r="R19" s="1292"/>
      <c r="S19" s="1292"/>
      <c r="T19" s="1293"/>
      <c r="U19" s="213"/>
      <c r="V19" s="42">
        <f t="shared" si="0"/>
        <v>19</v>
      </c>
      <c r="Y19" s="155"/>
      <c r="Z19" s="1286"/>
      <c r="AA19" s="181"/>
      <c r="AB19" s="181"/>
      <c r="AC19" s="181"/>
      <c r="AD19" s="181"/>
    </row>
    <row r="20" spans="1:30" ht="20.100000000000001" customHeight="1" thickBot="1">
      <c r="A20" s="205"/>
      <c r="B20" s="206" t="s">
        <v>244</v>
      </c>
      <c r="C20" s="208"/>
      <c r="D20" s="208"/>
      <c r="E20" s="208"/>
      <c r="F20" s="207"/>
      <c r="G20" s="208"/>
      <c r="H20" s="1291" t="s">
        <v>1801</v>
      </c>
      <c r="I20" s="1292"/>
      <c r="J20" s="1292"/>
      <c r="K20" s="1292"/>
      <c r="L20" s="1292"/>
      <c r="M20" s="1292"/>
      <c r="N20" s="1292"/>
      <c r="O20" s="1292"/>
      <c r="P20" s="1292"/>
      <c r="Q20" s="1292"/>
      <c r="R20" s="1292"/>
      <c r="S20" s="1292"/>
      <c r="T20" s="1293"/>
      <c r="U20" s="213"/>
      <c r="V20" s="42">
        <f t="shared" si="0"/>
        <v>20</v>
      </c>
      <c r="Y20" s="155"/>
      <c r="Z20" s="1286"/>
      <c r="AA20" s="181"/>
      <c r="AB20" s="181"/>
      <c r="AC20" s="181"/>
      <c r="AD20" s="181"/>
    </row>
    <row r="21" spans="1:30" ht="20.100000000000001" customHeight="1" thickBot="1">
      <c r="A21" s="205"/>
      <c r="B21" s="206" t="s">
        <v>245</v>
      </c>
      <c r="C21" s="208"/>
      <c r="D21" s="208"/>
      <c r="E21" s="208"/>
      <c r="F21" s="207"/>
      <c r="G21" s="208"/>
      <c r="H21" s="1294" t="s">
        <v>1904</v>
      </c>
      <c r="I21" s="1295"/>
      <c r="J21" s="1295"/>
      <c r="K21" s="1295"/>
      <c r="L21" s="1295"/>
      <c r="M21" s="1295"/>
      <c r="N21" s="1295"/>
      <c r="O21" s="1295"/>
      <c r="P21" s="1295"/>
      <c r="Q21" s="1295"/>
      <c r="R21" s="1295"/>
      <c r="S21" s="1295"/>
      <c r="T21" s="1296"/>
      <c r="U21" s="213"/>
      <c r="V21" s="42">
        <f t="shared" si="0"/>
        <v>21</v>
      </c>
      <c r="Y21" s="155"/>
      <c r="Z21" s="1286"/>
      <c r="AA21" s="181"/>
      <c r="AB21" s="181"/>
      <c r="AC21" s="181"/>
      <c r="AD21" s="181"/>
    </row>
    <row r="22" spans="1:30" ht="20.100000000000001" customHeight="1" thickBot="1">
      <c r="A22" s="205"/>
      <c r="B22" s="206" t="s">
        <v>246</v>
      </c>
      <c r="C22" s="208"/>
      <c r="D22" s="208"/>
      <c r="E22" s="208"/>
      <c r="F22" s="207"/>
      <c r="G22" s="208"/>
      <c r="H22" s="1291" t="s">
        <v>1905</v>
      </c>
      <c r="I22" s="1292"/>
      <c r="J22" s="1292"/>
      <c r="K22" s="1292"/>
      <c r="L22" s="1292"/>
      <c r="M22" s="1292"/>
      <c r="N22" s="1292"/>
      <c r="O22" s="1292"/>
      <c r="P22" s="1292"/>
      <c r="Q22" s="1292"/>
      <c r="R22" s="1292"/>
      <c r="S22" s="1292"/>
      <c r="T22" s="1293"/>
      <c r="U22" s="213"/>
      <c r="V22" s="42">
        <f t="shared" si="0"/>
        <v>22</v>
      </c>
      <c r="Y22" s="155"/>
      <c r="Z22" s="1286"/>
      <c r="AA22" s="181"/>
      <c r="AB22" s="181"/>
      <c r="AC22" s="181"/>
      <c r="AD22" s="181"/>
    </row>
    <row r="23" spans="1:30" ht="20.100000000000001" customHeight="1" thickBot="1">
      <c r="A23" s="205"/>
      <c r="B23" s="206" t="s">
        <v>247</v>
      </c>
      <c r="C23" s="206"/>
      <c r="D23" s="206"/>
      <c r="E23" s="206"/>
      <c r="F23" s="207"/>
      <c r="G23" s="208"/>
      <c r="H23" s="1301" t="s">
        <v>1923</v>
      </c>
      <c r="I23" s="1302"/>
      <c r="J23" s="1302"/>
      <c r="K23" s="1302"/>
      <c r="L23" s="1302"/>
      <c r="M23" s="1302"/>
      <c r="N23" s="1302"/>
      <c r="O23" s="1302"/>
      <c r="P23" s="1302"/>
      <c r="Q23" s="1302"/>
      <c r="R23" s="1302"/>
      <c r="S23" s="1302"/>
      <c r="T23" s="1303"/>
      <c r="U23" s="213"/>
      <c r="V23" s="42">
        <f t="shared" si="0"/>
        <v>23</v>
      </c>
      <c r="Y23" s="155"/>
      <c r="Z23" s="1286"/>
      <c r="AA23" s="181"/>
      <c r="AB23" s="181"/>
      <c r="AC23" s="181"/>
      <c r="AD23" s="181"/>
    </row>
    <row r="24" spans="1:30" ht="20.100000000000001" customHeight="1" thickBot="1">
      <c r="A24" s="205"/>
      <c r="B24" s="206" t="s">
        <v>248</v>
      </c>
      <c r="C24" s="206"/>
      <c r="D24" s="206"/>
      <c r="E24" s="206"/>
      <c r="F24" s="207"/>
      <c r="G24" s="208"/>
      <c r="H24" s="1301" t="s">
        <v>1906</v>
      </c>
      <c r="I24" s="1302"/>
      <c r="J24" s="1302"/>
      <c r="K24" s="1302"/>
      <c r="L24" s="1302"/>
      <c r="M24" s="1302"/>
      <c r="N24" s="1302"/>
      <c r="O24" s="1302"/>
      <c r="P24" s="1302"/>
      <c r="Q24" s="1302"/>
      <c r="R24" s="1302"/>
      <c r="S24" s="1302"/>
      <c r="T24" s="1303"/>
      <c r="U24" s="213"/>
      <c r="V24" s="42">
        <f t="shared" si="0"/>
        <v>24</v>
      </c>
      <c r="Y24" s="155"/>
      <c r="Z24" s="1286"/>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86"/>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6.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350</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350</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0</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0</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15</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704</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282" t="s">
        <v>263</v>
      </c>
      <c r="E35" s="1283"/>
      <c r="F35" s="1283"/>
      <c r="G35" s="1283"/>
      <c r="H35" s="1283"/>
      <c r="I35" s="1283"/>
      <c r="J35" s="1283"/>
      <c r="K35" s="1283"/>
      <c r="L35" s="1283"/>
      <c r="M35" s="1283"/>
      <c r="N35" s="1283"/>
      <c r="O35" s="1283"/>
      <c r="P35" s="1283"/>
      <c r="Q35" s="1283"/>
      <c r="R35" s="1283"/>
      <c r="S35" s="1283"/>
      <c r="T35" s="1283"/>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1381</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11.71</v>
      </c>
      <c r="J40" s="207" t="s">
        <v>262</v>
      </c>
      <c r="K40" s="5"/>
      <c r="L40" s="5"/>
      <c r="M40" s="5"/>
      <c r="N40" s="5"/>
      <c r="O40" s="207"/>
      <c r="P40" s="207"/>
      <c r="Q40" s="207"/>
      <c r="R40" s="327">
        <v>133</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v>
      </c>
      <c r="J41" s="207" t="s">
        <v>262</v>
      </c>
      <c r="K41" s="5"/>
      <c r="L41" s="5"/>
      <c r="M41" s="5"/>
      <c r="N41" s="5"/>
      <c r="O41" s="207"/>
      <c r="P41" s="207"/>
      <c r="Q41" s="207"/>
      <c r="R41" s="327">
        <v>0</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1.86</v>
      </c>
      <c r="J42" s="207" t="s">
        <v>262</v>
      </c>
      <c r="K42" s="207"/>
      <c r="L42" s="207"/>
      <c r="M42" s="207"/>
      <c r="N42" s="207"/>
      <c r="O42" s="207"/>
      <c r="P42" s="207"/>
      <c r="Q42" s="207"/>
      <c r="R42" s="327">
        <v>23</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5</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0.4</v>
      </c>
      <c r="J44" s="207" t="s">
        <v>262</v>
      </c>
      <c r="K44" s="207"/>
      <c r="L44" s="207"/>
      <c r="M44" s="207"/>
      <c r="N44" s="207"/>
      <c r="O44" s="207"/>
      <c r="P44" s="207"/>
      <c r="Q44" s="207"/>
      <c r="R44" s="327">
        <v>20</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27.04</v>
      </c>
      <c r="J45" s="207" t="s">
        <v>262</v>
      </c>
      <c r="K45" s="207"/>
      <c r="L45" s="207"/>
      <c r="M45" s="207"/>
      <c r="N45" s="207"/>
      <c r="O45" s="207"/>
      <c r="P45" s="207"/>
      <c r="Q45" s="207"/>
      <c r="R45" s="327">
        <v>347</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4.54</v>
      </c>
      <c r="J46" s="207" t="s">
        <v>262</v>
      </c>
      <c r="K46" s="207"/>
      <c r="L46" s="207"/>
      <c r="M46" s="207"/>
      <c r="N46" s="207"/>
      <c r="O46" s="207"/>
      <c r="P46" s="207"/>
      <c r="Q46" s="207"/>
      <c r="R46" s="327">
        <v>0</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13</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v>
      </c>
      <c r="J48" s="207" t="s">
        <v>262</v>
      </c>
      <c r="K48" s="207"/>
      <c r="L48" s="207"/>
      <c r="M48" s="207"/>
      <c r="N48" s="207"/>
      <c r="O48" s="207"/>
      <c r="P48" s="207"/>
      <c r="Q48" s="207"/>
      <c r="R48" s="327">
        <v>4</v>
      </c>
      <c r="S48" s="207" t="s">
        <v>262</v>
      </c>
      <c r="T48" s="207"/>
      <c r="U48" s="220"/>
      <c r="V48" s="42">
        <f t="shared" si="0"/>
        <v>48</v>
      </c>
      <c r="W48" s="188" t="str">
        <f t="shared" si="2"/>
        <v>✔</v>
      </c>
      <c r="Y48" s="155"/>
      <c r="Z48" s="233">
        <v>0</v>
      </c>
      <c r="AA48" s="233">
        <v>10</v>
      </c>
      <c r="AB48" s="233">
        <v>0</v>
      </c>
      <c r="AC48" s="233">
        <v>30</v>
      </c>
      <c r="AD48" s="181"/>
    </row>
    <row r="49" spans="1:30" ht="16.8" thickBot="1">
      <c r="A49" s="205"/>
      <c r="B49" s="206"/>
      <c r="C49" s="206" t="s">
        <v>278</v>
      </c>
      <c r="D49" s="206"/>
      <c r="E49" s="206"/>
      <c r="F49" s="207"/>
      <c r="G49" s="208"/>
      <c r="H49" s="221"/>
      <c r="I49" s="327">
        <v>0.81</v>
      </c>
      <c r="J49" s="207" t="s">
        <v>262</v>
      </c>
      <c r="K49" s="207"/>
      <c r="L49" s="207"/>
      <c r="M49" s="207"/>
      <c r="N49" s="207"/>
      <c r="O49" s="207"/>
      <c r="P49" s="207"/>
      <c r="Q49" s="207"/>
      <c r="R49" s="327">
        <v>1</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2</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0</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1.28</v>
      </c>
      <c r="J54" s="207" t="s">
        <v>262</v>
      </c>
      <c r="K54" s="207"/>
      <c r="L54" s="207"/>
      <c r="M54" s="207"/>
      <c r="N54" s="207"/>
      <c r="O54" s="207"/>
      <c r="P54" s="207"/>
      <c r="Q54" s="207"/>
      <c r="R54" s="327">
        <v>26</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7.35</v>
      </c>
      <c r="J55" s="207" t="s">
        <v>262</v>
      </c>
      <c r="K55" s="207"/>
      <c r="L55" s="207"/>
      <c r="M55" s="207"/>
      <c r="N55" s="207"/>
      <c r="O55" s="207"/>
      <c r="P55" s="207"/>
      <c r="Q55" s="207"/>
      <c r="R55" s="327">
        <v>35</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v>
      </c>
      <c r="J57" s="207" t="s">
        <v>262</v>
      </c>
      <c r="K57" s="207"/>
      <c r="L57" s="207"/>
      <c r="M57" s="207"/>
      <c r="N57" s="207"/>
      <c r="O57" s="207"/>
      <c r="P57" s="207"/>
      <c r="Q57" s="207"/>
      <c r="R57" s="327">
        <v>10</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v>
      </c>
      <c r="J58" s="207" t="s">
        <v>262</v>
      </c>
      <c r="K58" s="207"/>
      <c r="L58" s="207"/>
      <c r="M58" s="207"/>
      <c r="N58" s="207"/>
      <c r="O58" s="207"/>
      <c r="P58" s="207"/>
      <c r="Q58" s="207"/>
      <c r="R58" s="327">
        <v>6</v>
      </c>
      <c r="S58" s="207" t="s">
        <v>262</v>
      </c>
      <c r="T58" s="207"/>
      <c r="U58" s="220"/>
      <c r="V58" s="42">
        <f t="shared" si="0"/>
        <v>58</v>
      </c>
      <c r="W58" s="188" t="str">
        <f t="shared" si="2"/>
        <v>✔</v>
      </c>
      <c r="Y58" s="155"/>
      <c r="Z58" s="233">
        <v>0</v>
      </c>
      <c r="AA58" s="233">
        <v>10</v>
      </c>
      <c r="AB58" s="233">
        <v>0</v>
      </c>
      <c r="AC58" s="233">
        <v>30</v>
      </c>
      <c r="AD58" s="181"/>
    </row>
    <row r="59" spans="1:30" ht="16.8" thickBot="1">
      <c r="A59" s="205"/>
      <c r="B59" s="206"/>
      <c r="C59" s="206" t="s">
        <v>288</v>
      </c>
      <c r="D59" s="206"/>
      <c r="E59" s="206"/>
      <c r="F59" s="207"/>
      <c r="G59" s="208"/>
      <c r="H59" s="221"/>
      <c r="I59" s="327">
        <v>0</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0.32</v>
      </c>
      <c r="J60" s="207" t="s">
        <v>262</v>
      </c>
      <c r="K60" s="207"/>
      <c r="L60" s="207"/>
      <c r="M60" s="207"/>
      <c r="N60" s="207"/>
      <c r="O60" s="207"/>
      <c r="P60" s="207"/>
      <c r="Q60" s="207"/>
      <c r="R60" s="327">
        <v>8</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2.2599999999999998</v>
      </c>
      <c r="J62" s="207" t="s">
        <v>262</v>
      </c>
      <c r="K62" s="207"/>
      <c r="L62" s="207"/>
      <c r="M62" s="207"/>
      <c r="N62" s="207"/>
      <c r="O62" s="207"/>
      <c r="P62" s="207"/>
      <c r="Q62" s="207"/>
      <c r="R62" s="327">
        <v>1</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v>
      </c>
      <c r="J63" s="207" t="s">
        <v>262</v>
      </c>
      <c r="K63" s="207"/>
      <c r="L63" s="207"/>
      <c r="M63" s="207"/>
      <c r="N63" s="207"/>
      <c r="O63" s="207"/>
      <c r="P63" s="207"/>
      <c r="Q63" s="207"/>
      <c r="R63" s="327">
        <v>0</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6.2">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6.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23</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v>
      </c>
      <c r="J69" s="207" t="s">
        <v>262</v>
      </c>
      <c r="K69" s="207"/>
      <c r="L69" s="207"/>
      <c r="M69" s="207"/>
      <c r="N69" s="207"/>
      <c r="O69" s="207"/>
      <c r="P69" s="207"/>
      <c r="Q69" s="207"/>
      <c r="R69" s="327">
        <v>4</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4</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3</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0</v>
      </c>
      <c r="J72" s="207" t="s">
        <v>262</v>
      </c>
      <c r="K72" s="207"/>
      <c r="L72" s="207"/>
      <c r="M72" s="207"/>
      <c r="N72" s="207"/>
      <c r="O72" s="207"/>
      <c r="P72" s="207"/>
      <c r="Q72" s="207"/>
      <c r="R72" s="327">
        <v>11</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v>
      </c>
      <c r="J73" s="207" t="s">
        <v>262</v>
      </c>
      <c r="K73" s="207"/>
      <c r="L73" s="207"/>
      <c r="M73" s="207"/>
      <c r="N73" s="207"/>
      <c r="O73" s="207"/>
      <c r="P73" s="207"/>
      <c r="Q73" s="207"/>
      <c r="R73" s="327">
        <v>4</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6</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1</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1</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3</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2</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v>
      </c>
      <c r="J79" s="207" t="s">
        <v>262</v>
      </c>
      <c r="K79" s="207"/>
      <c r="L79" s="207"/>
      <c r="M79" s="207"/>
      <c r="N79" s="207"/>
      <c r="O79" s="207"/>
      <c r="P79" s="207"/>
      <c r="Q79" s="207"/>
      <c r="R79" s="327">
        <v>3</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2</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v>
      </c>
      <c r="J81" s="207" t="s">
        <v>262</v>
      </c>
      <c r="K81" s="207"/>
      <c r="L81" s="207"/>
      <c r="M81" s="207"/>
      <c r="N81" s="207"/>
      <c r="O81" s="207"/>
      <c r="P81" s="207"/>
      <c r="Q81" s="207"/>
      <c r="R81" s="327">
        <v>2</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2</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2</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0</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2</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v>
      </c>
      <c r="J86" s="207" t="s">
        <v>262</v>
      </c>
      <c r="K86" s="207"/>
      <c r="L86" s="207"/>
      <c r="M86" s="207"/>
      <c r="N86" s="207"/>
      <c r="O86" s="207"/>
      <c r="P86" s="207"/>
      <c r="Q86" s="207"/>
      <c r="R86" s="327">
        <v>7</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3</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0</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v>
      </c>
      <c r="J89" s="207" t="s">
        <v>262</v>
      </c>
      <c r="K89" s="207"/>
      <c r="L89" s="207"/>
      <c r="M89" s="207"/>
      <c r="N89" s="207"/>
      <c r="O89" s="207"/>
      <c r="P89" s="207"/>
      <c r="Q89" s="207"/>
      <c r="R89" s="327">
        <v>1</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1</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v>
      </c>
      <c r="J92" s="207" t="s">
        <v>262</v>
      </c>
      <c r="K92" s="207"/>
      <c r="L92" s="207"/>
      <c r="M92" s="207"/>
      <c r="N92" s="207"/>
      <c r="O92" s="207"/>
      <c r="P92" s="207"/>
      <c r="Q92" s="207"/>
      <c r="R92" s="327">
        <v>1</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v>
      </c>
      <c r="J93" s="207" t="s">
        <v>262</v>
      </c>
      <c r="K93" s="207"/>
      <c r="L93" s="207"/>
      <c r="M93" s="207"/>
      <c r="N93" s="207"/>
      <c r="O93" s="207"/>
      <c r="P93" s="207"/>
      <c r="Q93" s="207"/>
      <c r="R93" s="327">
        <v>2</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v>
      </c>
      <c r="J95" s="207" t="s">
        <v>262</v>
      </c>
      <c r="K95" s="207"/>
      <c r="L95" s="207"/>
      <c r="M95" s="207"/>
      <c r="N95" s="207"/>
      <c r="O95" s="207"/>
      <c r="P95" s="207"/>
      <c r="Q95" s="207"/>
      <c r="R95" s="327">
        <v>0</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v>
      </c>
      <c r="J96" s="207" t="s">
        <v>262</v>
      </c>
      <c r="K96" s="207"/>
      <c r="L96" s="207"/>
      <c r="M96" s="207"/>
      <c r="N96" s="207"/>
      <c r="O96" s="207"/>
      <c r="P96" s="207"/>
      <c r="Q96" s="207"/>
      <c r="R96" s="327">
        <v>17</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v>
      </c>
      <c r="J97" s="207" t="s">
        <v>262</v>
      </c>
      <c r="K97" s="207"/>
      <c r="L97" s="207"/>
      <c r="M97" s="207"/>
      <c r="N97" s="207"/>
      <c r="O97" s="207"/>
      <c r="P97" s="207"/>
      <c r="Q97" s="207"/>
      <c r="R97" s="327">
        <v>10</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v>
      </c>
      <c r="J98" s="207" t="s">
        <v>262</v>
      </c>
      <c r="K98" s="207"/>
      <c r="L98" s="207"/>
      <c r="M98" s="207"/>
      <c r="N98" s="207"/>
      <c r="O98" s="207"/>
      <c r="P98" s="207"/>
      <c r="Q98" s="207"/>
      <c r="R98" s="327">
        <v>5</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6</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2</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v>
      </c>
      <c r="J101" s="207" t="s">
        <v>262</v>
      </c>
      <c r="K101" s="207"/>
      <c r="L101" s="207"/>
      <c r="M101" s="207"/>
      <c r="N101" s="207"/>
      <c r="O101" s="207"/>
      <c r="P101" s="207"/>
      <c r="Q101" s="207"/>
      <c r="R101" s="327">
        <v>3</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4</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4</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v>
      </c>
      <c r="J104" s="207" t="s">
        <v>262</v>
      </c>
      <c r="K104" s="207"/>
      <c r="L104" s="207"/>
      <c r="M104" s="207"/>
      <c r="N104" s="207"/>
      <c r="O104" s="207"/>
      <c r="P104" s="207"/>
      <c r="Q104" s="207"/>
      <c r="R104" s="327">
        <v>2</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0</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2</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v>
      </c>
      <c r="J107" s="207" t="s">
        <v>262</v>
      </c>
      <c r="K107" s="207"/>
      <c r="L107" s="207"/>
      <c r="M107" s="207"/>
      <c r="N107" s="207"/>
      <c r="O107" s="207"/>
      <c r="P107" s="207"/>
      <c r="Q107" s="207"/>
      <c r="R107" s="327">
        <v>2</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2</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4</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5</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3</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0</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1</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2</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1</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v>
      </c>
      <c r="J121" s="207" t="s">
        <v>262</v>
      </c>
      <c r="K121" s="207"/>
      <c r="L121" s="207"/>
      <c r="M121" s="207"/>
      <c r="N121" s="207"/>
      <c r="O121" s="207"/>
      <c r="P121" s="207"/>
      <c r="Q121" s="207"/>
      <c r="R121" s="327">
        <v>0</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1</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0</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1</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1</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2</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1</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v>
      </c>
      <c r="J130" s="207" t="s">
        <v>262</v>
      </c>
      <c r="K130" s="207"/>
      <c r="L130" s="207"/>
      <c r="M130" s="207"/>
      <c r="N130" s="207"/>
      <c r="O130" s="207"/>
      <c r="P130" s="207"/>
      <c r="Q130" s="207"/>
      <c r="R130" s="327">
        <v>17</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0</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3</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v>
      </c>
      <c r="J134" s="207" t="s">
        <v>262</v>
      </c>
      <c r="K134" s="207"/>
      <c r="L134" s="207"/>
      <c r="M134" s="207"/>
      <c r="N134" s="207"/>
      <c r="O134" s="207"/>
      <c r="P134" s="207"/>
      <c r="Q134" s="207"/>
      <c r="R134" s="327">
        <v>6</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4</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v>
      </c>
      <c r="J136" s="207" t="s">
        <v>262</v>
      </c>
      <c r="K136" s="207"/>
      <c r="L136" s="207"/>
      <c r="M136" s="207"/>
      <c r="N136" s="207"/>
      <c r="O136" s="207"/>
      <c r="P136" s="207"/>
      <c r="Q136" s="207"/>
      <c r="R136" s="327">
        <v>5</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1</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2</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1</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1</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1</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0</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0</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0</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1</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1</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1</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1</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2</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1</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2</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2</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1</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1</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0</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3</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0</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80" t="s">
        <v>412</v>
      </c>
      <c r="D184" s="1280"/>
      <c r="E184" s="1280"/>
      <c r="F184" s="1280"/>
      <c r="G184" s="1280"/>
      <c r="H184" s="1284"/>
      <c r="I184" s="327">
        <v>0</v>
      </c>
      <c r="J184" s="207" t="s">
        <v>262</v>
      </c>
      <c r="K184" s="207"/>
      <c r="L184" s="207"/>
      <c r="M184" s="207"/>
      <c r="N184" s="207"/>
      <c r="O184" s="207"/>
      <c r="P184" s="207"/>
      <c r="Q184" s="207"/>
      <c r="R184" s="327">
        <v>0</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2</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3</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0.1</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8</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80" t="s">
        <v>419</v>
      </c>
      <c r="D191" s="1280"/>
      <c r="E191" s="1280"/>
      <c r="F191" s="1280"/>
      <c r="G191" s="1280"/>
      <c r="H191" s="1284"/>
      <c r="I191" s="327">
        <v>0</v>
      </c>
      <c r="J191" s="207" t="s">
        <v>262</v>
      </c>
      <c r="K191" s="207"/>
      <c r="L191" s="207"/>
      <c r="M191" s="207"/>
      <c r="N191" s="207"/>
      <c r="O191" s="207"/>
      <c r="P191" s="207"/>
      <c r="Q191" s="207"/>
      <c r="R191" s="327">
        <v>0</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2.8</v>
      </c>
      <c r="J192" s="207" t="s">
        <v>262</v>
      </c>
      <c r="K192" s="207"/>
      <c r="L192" s="207"/>
      <c r="M192" s="207"/>
      <c r="N192" s="207"/>
      <c r="O192" s="207"/>
      <c r="P192" s="207"/>
      <c r="Q192" s="207"/>
      <c r="R192" s="327">
        <v>4</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2.8</v>
      </c>
      <c r="J196" s="207" t="s">
        <v>262</v>
      </c>
      <c r="K196" s="207"/>
      <c r="L196" s="207"/>
      <c r="M196" s="207"/>
      <c r="N196" s="207"/>
      <c r="O196" s="207"/>
      <c r="P196" s="207"/>
      <c r="Q196" s="207"/>
      <c r="R196" s="327">
        <v>4</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v>
      </c>
      <c r="J197" s="207" t="s">
        <v>262</v>
      </c>
      <c r="K197" s="207"/>
      <c r="L197" s="207"/>
      <c r="M197" s="207"/>
      <c r="N197" s="207"/>
      <c r="O197" s="207"/>
      <c r="P197" s="207"/>
      <c r="Q197" s="207"/>
      <c r="R197" s="327">
        <v>0</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1</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1802</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1803</v>
      </c>
      <c r="I202" s="229" t="s">
        <v>431</v>
      </c>
      <c r="J202" s="267"/>
      <c r="K202" s="267"/>
      <c r="L202" s="267"/>
      <c r="M202" s="267" t="s">
        <v>432</v>
      </c>
      <c r="N202" s="327">
        <v>12</v>
      </c>
      <c r="O202" s="181" t="s">
        <v>1782</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1803</v>
      </c>
      <c r="I203" s="229" t="s">
        <v>431</v>
      </c>
      <c r="J203" s="267"/>
      <c r="K203" s="267"/>
      <c r="L203" s="267"/>
      <c r="M203" s="267" t="s">
        <v>432</v>
      </c>
      <c r="N203" s="327">
        <v>12</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1803</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86"/>
      <c r="AA206" s="181"/>
      <c r="AB206" s="181"/>
      <c r="AC206" s="181"/>
      <c r="AD206" s="181"/>
    </row>
    <row r="207" spans="1:30" ht="20.100000000000001" customHeight="1" thickBot="1">
      <c r="A207" s="205"/>
      <c r="B207" s="206" t="s">
        <v>436</v>
      </c>
      <c r="C207" s="206" t="s">
        <v>437</v>
      </c>
      <c r="D207" s="207"/>
      <c r="E207" s="206"/>
      <c r="F207" s="228" t="s">
        <v>1740</v>
      </c>
      <c r="G207" s="268"/>
      <c r="H207" s="221"/>
      <c r="I207" s="226"/>
      <c r="J207" s="5"/>
      <c r="K207" s="5"/>
      <c r="L207" s="5"/>
      <c r="M207" s="5"/>
      <c r="N207" s="5"/>
      <c r="O207" s="5"/>
      <c r="P207" s="5"/>
      <c r="Q207" s="5"/>
      <c r="R207" s="226"/>
      <c r="S207" s="5"/>
      <c r="T207" s="207"/>
      <c r="U207" s="220"/>
      <c r="V207" s="42">
        <f t="shared" si="20"/>
        <v>207</v>
      </c>
      <c r="Y207" s="155"/>
      <c r="Z207" s="1286"/>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9344</v>
      </c>
      <c r="S208" s="207" t="s">
        <v>379</v>
      </c>
      <c r="T208" s="206"/>
      <c r="U208" s="223"/>
      <c r="V208" s="42">
        <f t="shared" si="20"/>
        <v>208</v>
      </c>
      <c r="W208" s="188" t="str">
        <f>IF(R208="","未入力あり","✔")</f>
        <v>✔</v>
      </c>
      <c r="Y208" s="155"/>
      <c r="Z208" s="269">
        <v>0</v>
      </c>
      <c r="AA208" s="227">
        <v>170000</v>
      </c>
      <c r="AB208" s="181"/>
      <c r="AC208" s="181"/>
      <c r="AD208" s="181"/>
    </row>
    <row r="209" spans="1:30" ht="19.8" thickBot="1">
      <c r="A209" s="205"/>
      <c r="B209" s="207"/>
      <c r="C209" s="206"/>
      <c r="D209" s="206"/>
      <c r="E209" s="206" t="s">
        <v>439</v>
      </c>
      <c r="F209" s="206"/>
      <c r="G209" s="208"/>
      <c r="H209" s="221"/>
      <c r="I209" s="226"/>
      <c r="J209" s="5"/>
      <c r="K209" s="5"/>
      <c r="L209" s="5"/>
      <c r="M209" s="5"/>
      <c r="N209" s="5"/>
      <c r="O209" s="5"/>
      <c r="P209" s="5"/>
      <c r="Q209" s="5"/>
      <c r="R209" s="327">
        <v>1727</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18.482448630136986</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25592</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102</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285" t="s">
        <v>1645</v>
      </c>
      <c r="E213" s="1285"/>
      <c r="F213" s="1285"/>
      <c r="G213" s="1285"/>
      <c r="H213" s="1285"/>
      <c r="I213" s="1285"/>
      <c r="J213" s="1285"/>
      <c r="K213" s="1285"/>
      <c r="L213" s="1285"/>
      <c r="M213" s="1285"/>
      <c r="N213" s="1285"/>
      <c r="O213" s="1285"/>
      <c r="P213" s="1285"/>
      <c r="Q213" s="1285"/>
      <c r="R213" s="1285"/>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5196</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5283</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180</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1741</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1742</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72" t="s">
        <v>454</v>
      </c>
      <c r="F226" s="1273"/>
      <c r="G226" s="1273"/>
      <c r="H226" s="1273"/>
      <c r="I226" s="1273"/>
      <c r="J226" s="1274"/>
      <c r="K226" s="308"/>
      <c r="L226" s="5"/>
      <c r="M226" s="5"/>
      <c r="N226" s="5"/>
      <c r="O226" s="5"/>
      <c r="P226" s="5"/>
      <c r="Q226" s="5"/>
      <c r="R226" s="327">
        <v>7</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52</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30</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8</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15</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56</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77" t="s">
        <v>463</v>
      </c>
      <c r="E234" s="1278"/>
      <c r="F234" s="1278"/>
      <c r="G234" s="1278"/>
      <c r="H234" s="1278"/>
      <c r="I234" s="1278"/>
      <c r="J234" s="1278"/>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279" t="s">
        <v>464</v>
      </c>
      <c r="F235" s="1280"/>
      <c r="G235" s="1280"/>
      <c r="H235" s="1280"/>
      <c r="I235" s="1280"/>
      <c r="J235" s="1281"/>
      <c r="K235" s="308"/>
      <c r="L235" s="5"/>
      <c r="M235" s="5"/>
      <c r="N235" s="5"/>
      <c r="O235" s="5"/>
      <c r="P235" s="5"/>
      <c r="Q235" s="5"/>
      <c r="R235" s="327">
        <v>1</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17</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1</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27</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26</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3</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10</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0</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72" t="s">
        <v>476</v>
      </c>
      <c r="F247" s="1273"/>
      <c r="G247" s="1273"/>
      <c r="H247" s="1273"/>
      <c r="I247" s="1273"/>
      <c r="J247" s="1274"/>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23</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23</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2</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4</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0</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1</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72" t="s">
        <v>485</v>
      </c>
      <c r="F257" s="1273"/>
      <c r="G257" s="1273"/>
      <c r="H257" s="1273"/>
      <c r="I257" s="1273"/>
      <c r="J257" s="1274"/>
      <c r="K257" s="308"/>
      <c r="L257" s="5"/>
      <c r="M257" s="5"/>
      <c r="N257" s="5"/>
      <c r="O257" s="5"/>
      <c r="P257" s="5"/>
      <c r="Q257" s="5"/>
      <c r="R257" s="327">
        <v>1</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0</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72" t="s">
        <v>488</v>
      </c>
      <c r="F260" s="1273"/>
      <c r="G260" s="1273"/>
      <c r="H260" s="1273"/>
      <c r="I260" s="1273"/>
      <c r="J260" s="1274"/>
      <c r="K260" s="308"/>
      <c r="L260" s="5"/>
      <c r="M260" s="5"/>
      <c r="N260" s="5"/>
      <c r="O260" s="5"/>
      <c r="P260" s="5"/>
      <c r="Q260" s="5"/>
      <c r="R260" s="327">
        <v>0</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72" t="s">
        <v>490</v>
      </c>
      <c r="F262" s="1273"/>
      <c r="G262" s="1273"/>
      <c r="H262" s="1273"/>
      <c r="I262" s="1273"/>
      <c r="J262" s="1274"/>
      <c r="K262" s="308"/>
      <c r="L262" s="5"/>
      <c r="M262" s="5"/>
      <c r="N262" s="5"/>
      <c r="O262" s="5"/>
      <c r="P262" s="5"/>
      <c r="Q262" s="5"/>
      <c r="R262" s="327">
        <v>1</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0</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1743</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252</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6</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10</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105</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1</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1744</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50</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1</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2</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0</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1481</v>
      </c>
      <c r="E281" s="928"/>
      <c r="F281" s="928"/>
      <c r="G281" s="208"/>
      <c r="H281" s="208"/>
      <c r="I281" s="312"/>
      <c r="J281" s="308"/>
      <c r="K281" s="5"/>
      <c r="L281" s="5"/>
      <c r="M281" s="5"/>
      <c r="N281" s="5"/>
      <c r="O281" s="5"/>
      <c r="P281" s="5"/>
      <c r="Q281" s="5"/>
      <c r="R281" s="327">
        <v>22</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1483</v>
      </c>
      <c r="E282" s="928"/>
      <c r="F282" s="928"/>
      <c r="G282" s="208"/>
      <c r="H282" s="208"/>
      <c r="I282" s="312"/>
      <c r="J282" s="308"/>
      <c r="K282" s="5"/>
      <c r="L282" s="5"/>
      <c r="M282" s="5"/>
      <c r="N282" s="5"/>
      <c r="O282" s="5"/>
      <c r="P282" s="5"/>
      <c r="Q282" s="5"/>
      <c r="R282" s="327">
        <v>31</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1482</v>
      </c>
      <c r="E283" s="928"/>
      <c r="F283" s="928"/>
      <c r="G283" s="208"/>
      <c r="H283" s="208"/>
      <c r="I283" s="312"/>
      <c r="J283" s="308"/>
      <c r="K283" s="5"/>
      <c r="L283" s="5"/>
      <c r="M283" s="5"/>
      <c r="N283" s="5"/>
      <c r="O283" s="5"/>
      <c r="P283" s="5"/>
      <c r="Q283" s="5"/>
      <c r="R283" s="327">
        <v>0</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1484</v>
      </c>
      <c r="E284" s="928"/>
      <c r="F284" s="928"/>
      <c r="G284" s="208"/>
      <c r="H284" s="208"/>
      <c r="I284" s="312"/>
      <c r="J284" s="308"/>
      <c r="K284" s="5"/>
      <c r="L284" s="5"/>
      <c r="M284" s="5"/>
      <c r="N284" s="5"/>
      <c r="O284" s="5"/>
      <c r="P284" s="5"/>
      <c r="Q284" s="5"/>
      <c r="R284" s="327">
        <v>0</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1745</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211</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22</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60</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1746</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1747</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1568</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1569</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1570</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1805</v>
      </c>
      <c r="S296" s="1275" t="s">
        <v>510</v>
      </c>
      <c r="T296" s="1276"/>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1805</v>
      </c>
      <c r="S297" s="1275" t="s">
        <v>510</v>
      </c>
      <c r="T297" s="1276"/>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1804</v>
      </c>
      <c r="S298" s="1275" t="s">
        <v>510</v>
      </c>
      <c r="T298" s="1276"/>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1804</v>
      </c>
      <c r="S299" s="1275" t="s">
        <v>510</v>
      </c>
      <c r="T299" s="1276"/>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1804</v>
      </c>
      <c r="S300" s="1275" t="s">
        <v>510</v>
      </c>
      <c r="T300" s="1276"/>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1804</v>
      </c>
      <c r="S301" s="1275" t="s">
        <v>510</v>
      </c>
      <c r="T301" s="1276"/>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1804</v>
      </c>
      <c r="S302" s="1275" t="s">
        <v>510</v>
      </c>
      <c r="T302" s="1276"/>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1804</v>
      </c>
      <c r="S303" s="1275" t="s">
        <v>510</v>
      </c>
      <c r="T303" s="1276"/>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1804</v>
      </c>
      <c r="S305" s="1275" t="s">
        <v>510</v>
      </c>
      <c r="T305" s="1276"/>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1804</v>
      </c>
      <c r="S306" s="1275" t="s">
        <v>510</v>
      </c>
      <c r="T306" s="1276"/>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1804</v>
      </c>
      <c r="S309" s="1275" t="s">
        <v>510</v>
      </c>
      <c r="T309" s="1276"/>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1804</v>
      </c>
      <c r="S310" s="1275" t="s">
        <v>510</v>
      </c>
      <c r="T310" s="1276"/>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1804</v>
      </c>
      <c r="S311" s="1275" t="s">
        <v>510</v>
      </c>
      <c r="T311" s="1276"/>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1804</v>
      </c>
      <c r="S315" s="1275" t="s">
        <v>510</v>
      </c>
      <c r="T315" s="1276"/>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1804</v>
      </c>
      <c r="S316" s="1275" t="s">
        <v>510</v>
      </c>
      <c r="T316" s="1276"/>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1805</v>
      </c>
      <c r="S320" s="1275" t="s">
        <v>510</v>
      </c>
      <c r="T320" s="1276"/>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5" zoomScaleNormal="55" zoomScaleSheetLayoutView="85" workbookViewId="0">
      <selection activeCell="J358" sqref="J358"/>
    </sheetView>
  </sheetViews>
  <sheetFormatPr defaultColWidth="9" defaultRowHeight="13.2"/>
  <cols>
    <col min="1" max="1" width="4.33203125" style="333" customWidth="1"/>
    <col min="2" max="5" width="4.109375" style="333" customWidth="1"/>
    <col min="6" max="6" width="6.21875" style="333" customWidth="1"/>
    <col min="7" max="7" width="4.109375" style="333" customWidth="1"/>
    <col min="8" max="8" width="118.6640625" style="62" customWidth="1"/>
    <col min="9" max="9" width="9.88671875" style="329" customWidth="1"/>
    <col min="10" max="10" width="13.109375" style="62" customWidth="1"/>
    <col min="11" max="11" width="55.33203125" style="62" customWidth="1"/>
    <col min="12" max="12" width="2.33203125" style="330" customWidth="1"/>
    <col min="13" max="13" width="9" style="331"/>
    <col min="14" max="14" width="1" style="331" customWidth="1"/>
    <col min="15" max="15" width="73.109375" style="332" customWidth="1"/>
    <col min="16" max="20" width="9" style="49" customWidth="1"/>
    <col min="21" max="21" width="11.44140625" style="49" customWidth="1"/>
    <col min="22" max="22" width="9" style="49" customWidth="1"/>
    <col min="23" max="16384" width="9" style="49"/>
  </cols>
  <sheetData>
    <row r="1" spans="1:19" ht="13.8" thickBot="1">
      <c r="A1" s="328">
        <v>1</v>
      </c>
      <c r="B1" s="49"/>
      <c r="C1" s="49"/>
      <c r="D1" s="49"/>
      <c r="E1" s="49"/>
      <c r="F1" s="49"/>
      <c r="G1" s="49"/>
      <c r="H1" s="49"/>
      <c r="I1" s="49"/>
      <c r="K1" s="329"/>
      <c r="Q1" s="333" t="s">
        <v>532</v>
      </c>
      <c r="R1" s="333" t="s">
        <v>533</v>
      </c>
      <c r="S1" s="333" t="s">
        <v>534</v>
      </c>
    </row>
    <row r="2" spans="1:19" ht="21.75" customHeight="1" thickBot="1">
      <c r="A2" s="328">
        <v>2</v>
      </c>
      <c r="B2" s="1314" t="s">
        <v>535</v>
      </c>
      <c r="C2" s="1314"/>
      <c r="D2" s="1314"/>
      <c r="E2" s="1314"/>
      <c r="F2" s="1314"/>
      <c r="G2" s="1314"/>
      <c r="H2" s="1317" t="str">
        <f>+IF(ISBLANK(表紙!E2),"未入力",表紙!E2)</f>
        <v>公益財団法人　日本生命済生会　日本生命病院</v>
      </c>
      <c r="J2" s="334"/>
      <c r="K2" s="335" t="str">
        <f>+IF(SUM(Q2)&gt;0,"未入力があります。","")</f>
        <v/>
      </c>
      <c r="Q2" s="49">
        <f>+COUNTIF($M10:$M358,$Q$1)</f>
        <v>0</v>
      </c>
      <c r="R2" s="49">
        <f>+COUNTIF($M10:$M358,$R$1)</f>
        <v>155</v>
      </c>
      <c r="S2" s="49">
        <f>+COUNTIF($M10:$M358,$S$1)</f>
        <v>0</v>
      </c>
    </row>
    <row r="3" spans="1:19" ht="13.8" thickBot="1">
      <c r="A3" s="328">
        <v>3</v>
      </c>
      <c r="B3" s="1315"/>
      <c r="C3" s="1315"/>
      <c r="D3" s="1315"/>
      <c r="E3" s="1315"/>
      <c r="F3" s="1315"/>
      <c r="G3" s="1315"/>
      <c r="H3" s="1318"/>
      <c r="J3" s="329"/>
      <c r="K3" s="329"/>
    </row>
    <row r="4" spans="1:19" ht="13.8" thickBot="1">
      <c r="A4" s="328">
        <v>4</v>
      </c>
      <c r="B4" s="1316"/>
      <c r="C4" s="1316"/>
      <c r="D4" s="1316"/>
      <c r="E4" s="1316"/>
      <c r="F4" s="1316"/>
      <c r="G4" s="1316"/>
      <c r="H4" s="1319"/>
      <c r="J4" s="329"/>
      <c r="K4" s="329"/>
    </row>
    <row r="5" spans="1:19" ht="13.8" thickBot="1">
      <c r="A5" s="328">
        <v>5</v>
      </c>
      <c r="B5" s="332"/>
      <c r="J5" s="329"/>
      <c r="K5" s="329"/>
    </row>
    <row r="6" spans="1:19" ht="13.8" thickBot="1">
      <c r="A6" s="328">
        <v>6</v>
      </c>
      <c r="B6" s="332"/>
      <c r="J6" s="329"/>
      <c r="K6" s="329"/>
    </row>
    <row r="7" spans="1:19" ht="13.8" thickBot="1">
      <c r="A7" s="328">
        <v>7</v>
      </c>
      <c r="B7" s="332"/>
      <c r="J7" s="329"/>
      <c r="K7" s="329"/>
    </row>
    <row r="8" spans="1:19" ht="39" customHeight="1" thickBot="1">
      <c r="A8" s="328">
        <v>8</v>
      </c>
      <c r="B8" s="49"/>
      <c r="J8" s="329"/>
    </row>
    <row r="9" spans="1:19" ht="39" customHeight="1" thickBot="1">
      <c r="A9" s="328">
        <v>9</v>
      </c>
      <c r="B9" s="336" t="s">
        <v>1598</v>
      </c>
      <c r="C9" s="337"/>
      <c r="D9" s="337"/>
      <c r="E9" s="337"/>
      <c r="F9" s="337"/>
      <c r="G9" s="337"/>
      <c r="H9" s="338" t="s">
        <v>536</v>
      </c>
      <c r="I9" s="339" t="s">
        <v>537</v>
      </c>
      <c r="J9" s="340" t="s">
        <v>1730</v>
      </c>
      <c r="K9" s="341" t="s">
        <v>538</v>
      </c>
      <c r="O9" s="342" t="s">
        <v>539</v>
      </c>
    </row>
    <row r="10" spans="1:19" ht="13.8" thickBot="1">
      <c r="A10" s="328">
        <v>10</v>
      </c>
      <c r="C10" s="991">
        <v>1</v>
      </c>
      <c r="D10" s="343" t="s">
        <v>540</v>
      </c>
      <c r="E10" s="344"/>
      <c r="F10" s="344"/>
      <c r="G10" s="344"/>
      <c r="H10" s="345"/>
      <c r="I10" s="346"/>
      <c r="J10" s="345"/>
      <c r="K10" s="347"/>
      <c r="O10" s="156"/>
    </row>
    <row r="11" spans="1:19" ht="13.8" thickBot="1">
      <c r="A11" s="328">
        <v>11</v>
      </c>
      <c r="C11" s="351"/>
      <c r="D11" s="352" t="s">
        <v>541</v>
      </c>
      <c r="E11" s="353" t="s">
        <v>542</v>
      </c>
      <c r="F11" s="354"/>
      <c r="G11" s="354"/>
      <c r="H11" s="355"/>
      <c r="I11" s="356"/>
      <c r="J11" s="355"/>
      <c r="K11" s="357"/>
      <c r="O11" s="156"/>
    </row>
    <row r="12" spans="1:19" ht="13.8" thickBot="1">
      <c r="A12" s="328">
        <v>12</v>
      </c>
      <c r="C12" s="351"/>
      <c r="D12" s="351"/>
      <c r="E12" s="931" t="s">
        <v>446</v>
      </c>
      <c r="F12" s="932" t="s">
        <v>543</v>
      </c>
      <c r="G12" s="933"/>
      <c r="H12" s="934"/>
      <c r="I12" s="360"/>
      <c r="J12" s="359"/>
      <c r="K12" s="361"/>
      <c r="O12" s="156"/>
    </row>
    <row r="13" spans="1:19" ht="66.599999999999994" thickBot="1">
      <c r="A13" s="328">
        <v>13</v>
      </c>
      <c r="C13" s="351"/>
      <c r="D13" s="351"/>
      <c r="E13" s="935"/>
      <c r="F13" s="936" t="s">
        <v>1271</v>
      </c>
      <c r="G13" s="937"/>
      <c r="H13" s="938" t="s">
        <v>1576</v>
      </c>
      <c r="I13" s="363" t="s">
        <v>1262</v>
      </c>
      <c r="J13" s="66" t="s">
        <v>1805</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1805</v>
      </c>
      <c r="K14" s="350" t="s">
        <v>545</v>
      </c>
      <c r="M14" s="349" t="str">
        <f t="shared" si="0"/>
        <v>○</v>
      </c>
      <c r="O14" s="156"/>
    </row>
    <row r="15" spans="1:19" ht="13.8" thickBot="1">
      <c r="A15" s="328">
        <v>15</v>
      </c>
      <c r="C15" s="351"/>
      <c r="D15" s="351"/>
      <c r="E15" s="935"/>
      <c r="F15" s="936" t="s">
        <v>1272</v>
      </c>
      <c r="G15" s="937"/>
      <c r="H15" s="942" t="s">
        <v>546</v>
      </c>
      <c r="I15" s="366" t="s">
        <v>1262</v>
      </c>
      <c r="J15" s="66" t="s">
        <v>1805</v>
      </c>
      <c r="K15" s="1016"/>
      <c r="M15" s="349" t="str">
        <f t="shared" si="0"/>
        <v>○</v>
      </c>
      <c r="O15" s="156"/>
    </row>
    <row r="16" spans="1:19" ht="13.8" thickBot="1">
      <c r="A16" s="328">
        <v>16</v>
      </c>
      <c r="C16" s="351"/>
      <c r="D16" s="351"/>
      <c r="E16" s="935"/>
      <c r="F16" s="935"/>
      <c r="G16" s="943" t="s">
        <v>547</v>
      </c>
      <c r="H16" s="944" t="s">
        <v>548</v>
      </c>
      <c r="I16" s="368" t="s">
        <v>1262</v>
      </c>
      <c r="J16" s="66" t="s">
        <v>1805</v>
      </c>
      <c r="K16" s="1013"/>
      <c r="M16" s="349" t="str">
        <f t="shared" si="0"/>
        <v>○</v>
      </c>
      <c r="O16" s="156"/>
    </row>
    <row r="17" spans="1:21" ht="13.8" thickBot="1">
      <c r="A17" s="328">
        <v>17</v>
      </c>
      <c r="C17" s="351"/>
      <c r="D17" s="351"/>
      <c r="E17" s="935"/>
      <c r="F17" s="935"/>
      <c r="G17" s="943" t="s">
        <v>549</v>
      </c>
      <c r="H17" s="944" t="s">
        <v>550</v>
      </c>
      <c r="I17" s="992" t="s">
        <v>1262</v>
      </c>
      <c r="J17" s="66" t="s">
        <v>1805</v>
      </c>
      <c r="K17" s="1013"/>
      <c r="M17" s="349" t="str">
        <f t="shared" si="0"/>
        <v>○</v>
      </c>
      <c r="O17" s="156"/>
    </row>
    <row r="18" spans="1:21" ht="13.8" thickBot="1">
      <c r="A18" s="328">
        <v>18</v>
      </c>
      <c r="C18" s="351"/>
      <c r="D18" s="351"/>
      <c r="E18" s="935"/>
      <c r="F18" s="939"/>
      <c r="G18" s="945" t="s">
        <v>551</v>
      </c>
      <c r="H18" s="946" t="s">
        <v>552</v>
      </c>
      <c r="I18" s="993" t="s">
        <v>1262</v>
      </c>
      <c r="J18" s="66" t="s">
        <v>1805</v>
      </c>
      <c r="K18" s="1021"/>
      <c r="M18" s="349" t="str">
        <f t="shared" si="0"/>
        <v>○</v>
      </c>
      <c r="O18" s="156"/>
    </row>
    <row r="19" spans="1:21" ht="13.8" thickBot="1">
      <c r="A19" s="328">
        <v>19</v>
      </c>
      <c r="C19" s="351"/>
      <c r="D19" s="351"/>
      <c r="E19" s="935"/>
      <c r="F19" s="936" t="s">
        <v>1273</v>
      </c>
      <c r="G19" s="937"/>
      <c r="H19" s="942" t="s">
        <v>553</v>
      </c>
      <c r="I19" s="994" t="s">
        <v>1262</v>
      </c>
      <c r="J19" s="66" t="s">
        <v>1805</v>
      </c>
      <c r="K19" s="1016"/>
      <c r="M19" s="349" t="str">
        <f t="shared" si="0"/>
        <v>○</v>
      </c>
      <c r="O19" s="156"/>
    </row>
    <row r="20" spans="1:21" ht="27.75" customHeight="1" thickBot="1">
      <c r="A20" s="328">
        <v>20</v>
      </c>
      <c r="C20" s="351"/>
      <c r="D20" s="351"/>
      <c r="E20" s="935"/>
      <c r="F20" s="935"/>
      <c r="G20" s="943" t="s">
        <v>547</v>
      </c>
      <c r="H20" s="944" t="s">
        <v>554</v>
      </c>
      <c r="I20" s="992" t="s">
        <v>1507</v>
      </c>
      <c r="J20" s="66" t="s">
        <v>1805</v>
      </c>
      <c r="K20" s="1013" t="s">
        <v>555</v>
      </c>
      <c r="M20" s="349" t="str">
        <f t="shared" ref="M20:M23" si="1">IF(ISBLANK(J20),"未入力あり","〇")</f>
        <v>〇</v>
      </c>
      <c r="O20" s="156"/>
    </row>
    <row r="21" spans="1:21" ht="27" thickBot="1">
      <c r="A21" s="328">
        <v>21</v>
      </c>
      <c r="C21" s="351"/>
      <c r="D21" s="351"/>
      <c r="E21" s="935"/>
      <c r="F21" s="935"/>
      <c r="G21" s="943" t="s">
        <v>549</v>
      </c>
      <c r="H21" s="944" t="s">
        <v>556</v>
      </c>
      <c r="I21" s="992" t="s">
        <v>1507</v>
      </c>
      <c r="J21" s="66" t="s">
        <v>1805</v>
      </c>
      <c r="K21" s="1013" t="s">
        <v>555</v>
      </c>
      <c r="M21" s="349" t="str">
        <f t="shared" si="1"/>
        <v>〇</v>
      </c>
      <c r="O21" s="156"/>
    </row>
    <row r="22" spans="1:21" ht="40.200000000000003" thickBot="1">
      <c r="A22" s="328">
        <v>22</v>
      </c>
      <c r="C22" s="351"/>
      <c r="D22" s="351"/>
      <c r="E22" s="935"/>
      <c r="F22" s="935"/>
      <c r="G22" s="943" t="s">
        <v>551</v>
      </c>
      <c r="H22" s="944" t="s">
        <v>557</v>
      </c>
      <c r="I22" s="992" t="s">
        <v>1507</v>
      </c>
      <c r="J22" s="327">
        <v>1</v>
      </c>
      <c r="K22" s="1013" t="s">
        <v>558</v>
      </c>
      <c r="M22" s="349" t="str">
        <f t="shared" si="1"/>
        <v>〇</v>
      </c>
      <c r="O22" s="156"/>
      <c r="T22" s="372"/>
      <c r="U22" s="373"/>
    </row>
    <row r="23" spans="1:21" ht="27" thickBot="1">
      <c r="A23" s="328">
        <v>23</v>
      </c>
      <c r="C23" s="351"/>
      <c r="D23" s="351"/>
      <c r="E23" s="935"/>
      <c r="F23" s="935"/>
      <c r="G23" s="947" t="s">
        <v>559</v>
      </c>
      <c r="H23" s="946" t="s">
        <v>560</v>
      </c>
      <c r="I23" s="993" t="s">
        <v>1507</v>
      </c>
      <c r="J23" s="327">
        <v>1</v>
      </c>
      <c r="K23" s="1021" t="s">
        <v>561</v>
      </c>
      <c r="M23" s="349" t="str">
        <f t="shared" si="1"/>
        <v>〇</v>
      </c>
      <c r="O23" s="156"/>
      <c r="T23" s="372"/>
      <c r="U23" s="373"/>
    </row>
    <row r="24" spans="1:21" ht="13.8" thickBot="1">
      <c r="A24" s="328">
        <v>24</v>
      </c>
      <c r="C24" s="351"/>
      <c r="D24" s="351"/>
      <c r="E24" s="935"/>
      <c r="F24" s="939"/>
      <c r="G24" s="948"/>
      <c r="H24" s="941" t="s">
        <v>562</v>
      </c>
      <c r="I24" s="995" t="s">
        <v>1262</v>
      </c>
      <c r="J24" s="66" t="s">
        <v>1805</v>
      </c>
      <c r="K24" s="1026"/>
      <c r="M24" s="349" t="str">
        <f>+IF(I24="A",IF(ISBLANK(J24),"未入力あり",IF(J24="はい","○","×")),"")</f>
        <v>○</v>
      </c>
      <c r="O24" s="156"/>
    </row>
    <row r="25" spans="1:21" ht="27" thickBot="1">
      <c r="A25" s="328">
        <v>25</v>
      </c>
      <c r="C25" s="351"/>
      <c r="D25" s="351"/>
      <c r="E25" s="935"/>
      <c r="F25" s="949" t="s">
        <v>1274</v>
      </c>
      <c r="G25" s="950"/>
      <c r="H25" s="951" t="s">
        <v>563</v>
      </c>
      <c r="I25" s="996" t="s">
        <v>1262</v>
      </c>
      <c r="J25" s="66" t="s">
        <v>1805</v>
      </c>
      <c r="K25" s="1015" t="s">
        <v>1646</v>
      </c>
      <c r="M25" s="349" t="str">
        <f>+IF(I25="A",IF(ISBLANK(J25),"未入力あり",IF(J25="はい","○","×")),"")</f>
        <v>○</v>
      </c>
      <c r="O25" s="156"/>
    </row>
    <row r="26" spans="1:21" ht="46.95" customHeight="1" thickBot="1">
      <c r="A26" s="328">
        <v>26</v>
      </c>
      <c r="C26" s="351"/>
      <c r="D26" s="351"/>
      <c r="E26" s="935"/>
      <c r="F26" s="936" t="s">
        <v>1275</v>
      </c>
      <c r="G26" s="937"/>
      <c r="H26" s="938" t="s">
        <v>564</v>
      </c>
      <c r="I26" s="997" t="s">
        <v>1262</v>
      </c>
      <c r="J26" s="66" t="s">
        <v>1805</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1179</v>
      </c>
      <c r="K27" s="350"/>
      <c r="M27" s="874" t="str">
        <f>IF(ISBLANK(J27),"未入力あり","〇")</f>
        <v>〇</v>
      </c>
      <c r="O27" s="156"/>
    </row>
    <row r="28" spans="1:21" ht="13.8" thickBot="1">
      <c r="A28" s="328">
        <v>28</v>
      </c>
      <c r="C28" s="351"/>
      <c r="D28" s="351"/>
      <c r="E28" s="931" t="s">
        <v>1270</v>
      </c>
      <c r="F28" s="932" t="s">
        <v>1577</v>
      </c>
      <c r="G28" s="933"/>
      <c r="H28" s="934"/>
      <c r="I28" s="998"/>
      <c r="J28" s="1151"/>
      <c r="K28" s="361"/>
      <c r="M28" s="875"/>
      <c r="O28" s="156"/>
    </row>
    <row r="29" spans="1:21" ht="13.8" thickBot="1">
      <c r="A29" s="328">
        <v>29</v>
      </c>
      <c r="C29" s="351"/>
      <c r="D29" s="351"/>
      <c r="E29" s="952" t="s">
        <v>1266</v>
      </c>
      <c r="F29" s="953"/>
      <c r="G29" s="954"/>
      <c r="H29" s="955"/>
      <c r="I29" s="999" t="s">
        <v>565</v>
      </c>
      <c r="J29" s="66" t="s">
        <v>1805</v>
      </c>
      <c r="K29" s="869"/>
      <c r="M29" s="874" t="str">
        <f>IF(ISBLANK(J29),"未入力あり","〇")</f>
        <v>〇</v>
      </c>
      <c r="O29" s="156"/>
    </row>
    <row r="30" spans="1:21" ht="31.5" customHeight="1" thickBot="1">
      <c r="A30" s="328">
        <v>30</v>
      </c>
      <c r="C30" s="351"/>
      <c r="D30" s="351"/>
      <c r="E30" s="956"/>
      <c r="F30" s="1311" t="s">
        <v>1267</v>
      </c>
      <c r="G30" s="1312"/>
      <c r="H30" s="1313"/>
      <c r="I30" s="1000"/>
      <c r="J30" s="1152"/>
      <c r="K30" s="869"/>
      <c r="O30" s="156"/>
    </row>
    <row r="31" spans="1:21" ht="19.5" customHeight="1" thickBot="1">
      <c r="A31" s="328">
        <v>31</v>
      </c>
      <c r="C31" s="351"/>
      <c r="D31" s="351"/>
      <c r="E31" s="956"/>
      <c r="F31" s="936" t="s">
        <v>1271</v>
      </c>
      <c r="G31" s="957"/>
      <c r="H31" s="958" t="s">
        <v>1331</v>
      </c>
      <c r="I31" s="1000" t="s">
        <v>1303</v>
      </c>
      <c r="J31" s="66" t="s">
        <v>1805</v>
      </c>
      <c r="K31" s="869"/>
      <c r="M31" s="874" t="str">
        <f t="shared" ref="M31:M37" si="2">IF(ISBLANK(J31),"未入力あり","〇")</f>
        <v>〇</v>
      </c>
      <c r="O31" s="156"/>
    </row>
    <row r="32" spans="1:21" ht="13.8" thickBot="1">
      <c r="A32" s="328">
        <v>32</v>
      </c>
      <c r="C32" s="351"/>
      <c r="D32" s="351"/>
      <c r="E32" s="935"/>
      <c r="F32" s="959"/>
      <c r="G32" s="957"/>
      <c r="H32" s="938" t="s">
        <v>566</v>
      </c>
      <c r="I32" s="997" t="s">
        <v>1268</v>
      </c>
      <c r="J32" s="66" t="s">
        <v>1805</v>
      </c>
      <c r="K32" s="348"/>
      <c r="M32" s="874" t="str">
        <f t="shared" si="2"/>
        <v>〇</v>
      </c>
      <c r="O32" s="156"/>
    </row>
    <row r="33" spans="1:21" ht="13.8" thickBot="1">
      <c r="A33" s="328">
        <v>33</v>
      </c>
      <c r="C33" s="351"/>
      <c r="D33" s="351"/>
      <c r="E33" s="935"/>
      <c r="F33" s="939"/>
      <c r="G33" s="948"/>
      <c r="H33" s="960" t="s">
        <v>567</v>
      </c>
      <c r="I33" s="1001" t="s">
        <v>568</v>
      </c>
      <c r="J33" s="66" t="s">
        <v>1804</v>
      </c>
      <c r="K33" s="377"/>
      <c r="M33" s="874" t="str">
        <f t="shared" si="2"/>
        <v>〇</v>
      </c>
      <c r="O33" s="156"/>
    </row>
    <row r="34" spans="1:21" ht="13.8" thickBot="1">
      <c r="A34" s="328">
        <v>34</v>
      </c>
      <c r="C34" s="351"/>
      <c r="D34" s="351"/>
      <c r="E34" s="935"/>
      <c r="F34" s="936" t="s">
        <v>1272</v>
      </c>
      <c r="G34" s="937"/>
      <c r="H34" s="938" t="s">
        <v>569</v>
      </c>
      <c r="I34" s="997" t="s">
        <v>1268</v>
      </c>
      <c r="J34" s="66" t="s">
        <v>1805</v>
      </c>
      <c r="K34" s="348"/>
      <c r="M34" s="874" t="str">
        <f t="shared" si="2"/>
        <v>〇</v>
      </c>
      <c r="O34" s="156"/>
    </row>
    <row r="35" spans="1:21" ht="13.8" thickBot="1">
      <c r="A35" s="328">
        <v>35</v>
      </c>
      <c r="C35" s="351"/>
      <c r="D35" s="351"/>
      <c r="E35" s="935"/>
      <c r="F35" s="939"/>
      <c r="G35" s="940"/>
      <c r="H35" s="941" t="s">
        <v>570</v>
      </c>
      <c r="I35" s="995" t="s">
        <v>1263</v>
      </c>
      <c r="J35" s="66" t="s">
        <v>1805</v>
      </c>
      <c r="K35" s="350"/>
      <c r="M35" s="874" t="str">
        <f t="shared" si="2"/>
        <v>〇</v>
      </c>
      <c r="O35" s="156"/>
    </row>
    <row r="36" spans="1:21" ht="13.8" thickBot="1">
      <c r="A36" s="328">
        <v>36</v>
      </c>
      <c r="C36" s="351"/>
      <c r="D36" s="351"/>
      <c r="E36" s="935"/>
      <c r="F36" s="936" t="s">
        <v>1273</v>
      </c>
      <c r="G36" s="937"/>
      <c r="H36" s="938" t="s">
        <v>571</v>
      </c>
      <c r="I36" s="1002" t="str">
        <f>IF(J29="はい","C",IF(J29="いいえ","-","C／-"))</f>
        <v>C</v>
      </c>
      <c r="J36" s="66" t="s">
        <v>1804</v>
      </c>
      <c r="K36" s="348"/>
      <c r="M36" s="874" t="str">
        <f t="shared" si="2"/>
        <v>〇</v>
      </c>
      <c r="O36" s="156"/>
    </row>
    <row r="37" spans="1:21" ht="13.8" thickBot="1">
      <c r="A37" s="328">
        <v>37</v>
      </c>
      <c r="C37" s="351"/>
      <c r="D37" s="351"/>
      <c r="E37" s="935"/>
      <c r="F37" s="939"/>
      <c r="G37" s="940"/>
      <c r="H37" s="941" t="s">
        <v>572</v>
      </c>
      <c r="I37" s="1002" t="str">
        <f>IF(J29="はい","C",IF(J29="いいえ","-","C／-"))</f>
        <v>C</v>
      </c>
      <c r="J37" s="66" t="s">
        <v>568</v>
      </c>
      <c r="K37" s="350"/>
      <c r="M37" s="874" t="str">
        <f t="shared" si="2"/>
        <v>〇</v>
      </c>
      <c r="O37" s="156"/>
    </row>
    <row r="38" spans="1:21" ht="13.8" thickBot="1">
      <c r="A38" s="328">
        <v>38</v>
      </c>
      <c r="C38" s="351"/>
      <c r="D38" s="351"/>
      <c r="E38" s="935"/>
      <c r="F38" s="936" t="s">
        <v>1274</v>
      </c>
      <c r="G38" s="961"/>
      <c r="H38" s="962" t="s">
        <v>573</v>
      </c>
      <c r="I38" s="1002" t="str">
        <f>IF(J29="はい","A",IF(J29="いいえ","-","A／-"))</f>
        <v>A</v>
      </c>
      <c r="J38" s="66" t="s">
        <v>1805</v>
      </c>
      <c r="K38" s="378"/>
      <c r="M38" s="872" t="str">
        <f>+IF(I38="A",IF(ISBLANK(J38),"未入力あり",IF(J38="はい","○","×")),"")</f>
        <v>○</v>
      </c>
      <c r="O38" s="156"/>
    </row>
    <row r="39" spans="1:21" ht="36" customHeight="1" thickBot="1">
      <c r="A39" s="328">
        <v>39</v>
      </c>
      <c r="C39" s="351"/>
      <c r="D39" s="351"/>
      <c r="E39" s="935"/>
      <c r="F39" s="939"/>
      <c r="G39" s="948"/>
      <c r="H39" s="963" t="s">
        <v>1578</v>
      </c>
      <c r="I39" s="1003" t="s">
        <v>565</v>
      </c>
      <c r="J39" s="66" t="s">
        <v>1804</v>
      </c>
      <c r="K39" s="379"/>
      <c r="M39" s="349" t="str">
        <f>IF(ISBLANK(J39),"未入力あり","〇")</f>
        <v>〇</v>
      </c>
      <c r="O39" s="156"/>
    </row>
    <row r="40" spans="1:21" ht="40.200000000000003" thickBot="1">
      <c r="A40" s="328">
        <v>40</v>
      </c>
      <c r="C40" s="351"/>
      <c r="D40" s="351"/>
      <c r="E40" s="935"/>
      <c r="F40" s="936" t="s">
        <v>1275</v>
      </c>
      <c r="G40" s="937"/>
      <c r="H40" s="938" t="s">
        <v>1579</v>
      </c>
      <c r="I40" s="1002" t="str">
        <f>IF(J29="はい","A",IF(J29="いいえ","-","A／-"))</f>
        <v>A</v>
      </c>
      <c r="J40" s="66" t="s">
        <v>1805</v>
      </c>
      <c r="K40" s="348"/>
      <c r="M40" s="872" t="str">
        <f>+IF(I40="A",IF(ISBLANK(J40),"未入力あり",IF(J40="はい","○","×")),"")</f>
        <v>○</v>
      </c>
      <c r="O40" s="156"/>
    </row>
    <row r="41" spans="1:21" ht="36" customHeight="1" thickBot="1">
      <c r="A41" s="328">
        <v>41</v>
      </c>
      <c r="C41" s="351"/>
      <c r="D41" s="351"/>
      <c r="E41" s="935"/>
      <c r="F41" s="935"/>
      <c r="G41" s="957"/>
      <c r="H41" s="964" t="s">
        <v>1580</v>
      </c>
      <c r="I41" s="1004" t="s">
        <v>568</v>
      </c>
      <c r="J41" s="66" t="s">
        <v>1804</v>
      </c>
      <c r="K41" s="380"/>
      <c r="M41" s="349" t="str">
        <f>IF(ISBLANK(J41),"未入力あり","〇")</f>
        <v>〇</v>
      </c>
      <c r="O41" s="156"/>
    </row>
    <row r="42" spans="1:21" ht="34.5" customHeight="1" thickBot="1">
      <c r="A42" s="328">
        <v>42</v>
      </c>
      <c r="C42" s="351"/>
      <c r="D42" s="351"/>
      <c r="E42" s="935"/>
      <c r="F42" s="939"/>
      <c r="G42" s="948"/>
      <c r="H42" s="965" t="s">
        <v>1581</v>
      </c>
      <c r="I42" s="1003" t="s">
        <v>565</v>
      </c>
      <c r="J42" s="66" t="s">
        <v>1804</v>
      </c>
      <c r="K42" s="379"/>
      <c r="M42" s="349" t="str">
        <f>IF(ISBLANK(J42),"未入力あり","〇")</f>
        <v>〇</v>
      </c>
      <c r="O42" s="156"/>
    </row>
    <row r="43" spans="1:21" ht="30.75" customHeight="1" thickBot="1">
      <c r="A43" s="328">
        <v>43</v>
      </c>
      <c r="C43" s="351"/>
      <c r="D43" s="351"/>
      <c r="E43" s="935"/>
      <c r="F43" s="936" t="s">
        <v>1276</v>
      </c>
      <c r="G43" s="937"/>
      <c r="H43" s="938" t="s">
        <v>1582</v>
      </c>
      <c r="I43" s="1002" t="str">
        <f>IF(J29="はい","A",IF(J29="いいえ","-","A／-"))</f>
        <v>A</v>
      </c>
      <c r="J43" s="66" t="s">
        <v>1805</v>
      </c>
      <c r="K43" s="381"/>
      <c r="M43" s="872" t="str">
        <f>+IF(I43="A",IF(ISBLANK(J43),"未入力あり",IF(J43="はい","○","×")),"")</f>
        <v>○</v>
      </c>
      <c r="O43" s="156"/>
    </row>
    <row r="44" spans="1:21" ht="33.75" customHeight="1" thickBot="1">
      <c r="A44" s="328">
        <v>44</v>
      </c>
      <c r="C44" s="351"/>
      <c r="D44" s="351"/>
      <c r="E44" s="935"/>
      <c r="F44" s="935"/>
      <c r="G44" s="957"/>
      <c r="H44" s="966" t="s">
        <v>1583</v>
      </c>
      <c r="I44" s="997" t="s">
        <v>568</v>
      </c>
      <c r="J44" s="327" t="s">
        <v>1805</v>
      </c>
      <c r="K44" s="380" t="s">
        <v>574</v>
      </c>
      <c r="M44" s="349" t="str">
        <f t="shared" ref="M44:M46" si="3">IF(ISBLANK(J44),"未入力あり","〇")</f>
        <v>〇</v>
      </c>
      <c r="O44" s="156"/>
      <c r="U44" s="373"/>
    </row>
    <row r="45" spans="1:21" ht="36" customHeight="1" thickBot="1">
      <c r="A45" s="328">
        <v>45</v>
      </c>
      <c r="C45" s="351"/>
      <c r="D45" s="351"/>
      <c r="E45" s="935"/>
      <c r="F45" s="935"/>
      <c r="G45" s="957"/>
      <c r="H45" s="967" t="s">
        <v>1584</v>
      </c>
      <c r="I45" s="1005" t="s">
        <v>568</v>
      </c>
      <c r="J45" s="100">
        <v>20230224</v>
      </c>
      <c r="K45" s="380"/>
      <c r="M45" s="349" t="str">
        <f t="shared" si="3"/>
        <v>〇</v>
      </c>
      <c r="O45" s="156"/>
    </row>
    <row r="46" spans="1:21" ht="35.25" customHeight="1" thickBot="1">
      <c r="A46" s="328">
        <v>46</v>
      </c>
      <c r="C46" s="351"/>
      <c r="D46" s="351"/>
      <c r="E46" s="935"/>
      <c r="F46" s="935"/>
      <c r="G46" s="957"/>
      <c r="H46" s="968" t="s">
        <v>1585</v>
      </c>
      <c r="I46" s="1006" t="s">
        <v>568</v>
      </c>
      <c r="J46" s="66" t="s">
        <v>1907</v>
      </c>
      <c r="K46" s="383"/>
      <c r="M46" s="349" t="str">
        <f t="shared" si="3"/>
        <v>〇</v>
      </c>
      <c r="O46" s="156"/>
    </row>
    <row r="47" spans="1:21" ht="27" thickBot="1">
      <c r="A47" s="328">
        <v>47</v>
      </c>
      <c r="C47" s="351"/>
      <c r="D47" s="351"/>
      <c r="E47" s="935"/>
      <c r="F47" s="969" t="s">
        <v>1277</v>
      </c>
      <c r="G47" s="950"/>
      <c r="H47" s="951" t="s">
        <v>1586</v>
      </c>
      <c r="I47" s="1002" t="str">
        <f>IF(J29="はい","C",IF(J29="いいえ","-","C／-"))</f>
        <v>C</v>
      </c>
      <c r="J47" s="66" t="s">
        <v>1805</v>
      </c>
      <c r="K47" s="384"/>
      <c r="M47" s="349" t="str">
        <f>IF(ISBLANK(J47),"未入力あり","〇")</f>
        <v>〇</v>
      </c>
      <c r="O47" s="156"/>
    </row>
    <row r="48" spans="1:21" ht="13.8" thickBot="1">
      <c r="A48" s="328">
        <v>48</v>
      </c>
      <c r="C48" s="351"/>
      <c r="D48" s="351"/>
      <c r="E48" s="935"/>
      <c r="F48" s="969" t="s">
        <v>1278</v>
      </c>
      <c r="G48" s="950"/>
      <c r="H48" s="951" t="s">
        <v>575</v>
      </c>
      <c r="I48" s="996" t="s">
        <v>1262</v>
      </c>
      <c r="J48" s="66" t="s">
        <v>1805</v>
      </c>
      <c r="K48" s="375"/>
      <c r="M48" s="349" t="str">
        <f>+IF(I48="A",IF(ISBLANK(J48),"未入力あり",IF(J48="はい","○","×")),"")</f>
        <v>○</v>
      </c>
      <c r="O48" s="156"/>
    </row>
    <row r="49" spans="1:15" ht="27" thickBot="1">
      <c r="A49" s="328">
        <v>49</v>
      </c>
      <c r="C49" s="351"/>
      <c r="D49" s="351"/>
      <c r="E49" s="939"/>
      <c r="F49" s="939" t="s">
        <v>1279</v>
      </c>
      <c r="G49" s="940"/>
      <c r="H49" s="970" t="s">
        <v>576</v>
      </c>
      <c r="I49" s="1007" t="s">
        <v>1262</v>
      </c>
      <c r="J49" s="66" t="s">
        <v>1805</v>
      </c>
      <c r="K49" s="1012" t="s">
        <v>1444</v>
      </c>
      <c r="M49" s="349" t="str">
        <f>+IF(I49="A",IF(ISBLANK(J49),"未入力あり",IF(J49="はい","○","×")),"")</f>
        <v>○</v>
      </c>
      <c r="O49" s="156"/>
    </row>
    <row r="50" spans="1:15" ht="13.8" thickBot="1">
      <c r="A50" s="328">
        <v>50</v>
      </c>
      <c r="C50" s="351"/>
      <c r="D50" s="351"/>
      <c r="E50" s="931" t="s">
        <v>1269</v>
      </c>
      <c r="F50" s="932" t="s">
        <v>577</v>
      </c>
      <c r="G50" s="933"/>
      <c r="H50" s="934"/>
      <c r="I50" s="1008"/>
      <c r="J50" s="1153"/>
      <c r="K50" s="361"/>
      <c r="O50" s="156"/>
    </row>
    <row r="51" spans="1:15" ht="27" thickBot="1">
      <c r="A51" s="328">
        <v>51</v>
      </c>
      <c r="C51" s="351"/>
      <c r="D51" s="351"/>
      <c r="E51" s="935"/>
      <c r="F51" s="936" t="s">
        <v>1271</v>
      </c>
      <c r="G51" s="937"/>
      <c r="H51" s="938" t="s">
        <v>578</v>
      </c>
      <c r="I51" s="997" t="s">
        <v>1268</v>
      </c>
      <c r="J51" s="66" t="s">
        <v>1805</v>
      </c>
      <c r="K51" s="348"/>
      <c r="M51" s="349" t="str">
        <f>IF(ISBLANK(J51),"未入力あり","〇")</f>
        <v>〇</v>
      </c>
      <c r="O51" s="156"/>
    </row>
    <row r="52" spans="1:15" ht="27" thickBot="1">
      <c r="A52" s="328">
        <v>52</v>
      </c>
      <c r="C52" s="351"/>
      <c r="D52" s="351"/>
      <c r="E52" s="935"/>
      <c r="F52" s="936" t="s">
        <v>1272</v>
      </c>
      <c r="G52" s="937"/>
      <c r="H52" s="938" t="s">
        <v>1508</v>
      </c>
      <c r="I52" s="997" t="s">
        <v>1262</v>
      </c>
      <c r="J52" s="66" t="s">
        <v>1805</v>
      </c>
      <c r="K52" s="348"/>
      <c r="M52" s="349" t="str">
        <f t="shared" ref="M52:M108" si="4">+IF(I52="A",IF(ISBLANK(J52),"未入力あり",IF(J52="はい","○","×")),"")</f>
        <v>○</v>
      </c>
      <c r="O52" s="156"/>
    </row>
    <row r="53" spans="1:15" ht="27" thickBot="1">
      <c r="A53" s="328">
        <v>53</v>
      </c>
      <c r="C53" s="351"/>
      <c r="D53" s="351"/>
      <c r="E53" s="935"/>
      <c r="F53" s="939"/>
      <c r="G53" s="940"/>
      <c r="H53" s="941" t="s">
        <v>579</v>
      </c>
      <c r="I53" s="1009" t="s">
        <v>1262</v>
      </c>
      <c r="J53" s="66" t="s">
        <v>1805</v>
      </c>
      <c r="K53" s="350"/>
      <c r="M53" s="349" t="str">
        <f t="shared" si="4"/>
        <v>○</v>
      </c>
      <c r="O53" s="156"/>
    </row>
    <row r="54" spans="1:15" ht="27" thickBot="1">
      <c r="A54" s="328">
        <v>54</v>
      </c>
      <c r="C54" s="351"/>
      <c r="D54" s="351"/>
      <c r="E54" s="935"/>
      <c r="F54" s="935" t="s">
        <v>1273</v>
      </c>
      <c r="G54" s="957"/>
      <c r="H54" s="942" t="s">
        <v>1587</v>
      </c>
      <c r="I54" s="994" t="s">
        <v>1262</v>
      </c>
      <c r="J54" s="66" t="s">
        <v>1805</v>
      </c>
      <c r="K54" s="367" t="s">
        <v>580</v>
      </c>
      <c r="M54" s="349" t="str">
        <f t="shared" si="4"/>
        <v>○</v>
      </c>
      <c r="O54" s="156"/>
    </row>
    <row r="55" spans="1:15" ht="27" thickBot="1">
      <c r="A55" s="328">
        <v>55</v>
      </c>
      <c r="C55" s="351"/>
      <c r="D55" s="351"/>
      <c r="E55" s="935"/>
      <c r="F55" s="935"/>
      <c r="G55" s="943" t="s">
        <v>547</v>
      </c>
      <c r="H55" s="944" t="s">
        <v>581</v>
      </c>
      <c r="I55" s="992" t="s">
        <v>1262</v>
      </c>
      <c r="J55" s="66" t="s">
        <v>1805</v>
      </c>
      <c r="K55" s="369"/>
      <c r="M55" s="349" t="str">
        <f t="shared" si="4"/>
        <v>○</v>
      </c>
      <c r="O55" s="156"/>
    </row>
    <row r="56" spans="1:15" ht="27" thickBot="1">
      <c r="A56" s="328">
        <v>56</v>
      </c>
      <c r="C56" s="351"/>
      <c r="D56" s="351"/>
      <c r="E56" s="935"/>
      <c r="F56" s="935"/>
      <c r="G56" s="971" t="s">
        <v>549</v>
      </c>
      <c r="H56" s="944" t="s">
        <v>1588</v>
      </c>
      <c r="I56" s="992" t="s">
        <v>1262</v>
      </c>
      <c r="J56" s="66" t="s">
        <v>1805</v>
      </c>
      <c r="K56" s="1013" t="s">
        <v>1599</v>
      </c>
      <c r="M56" s="349" t="str">
        <f t="shared" si="4"/>
        <v>○</v>
      </c>
      <c r="O56" s="156"/>
    </row>
    <row r="57" spans="1:15" ht="13.8" thickBot="1">
      <c r="A57" s="328">
        <v>57</v>
      </c>
      <c r="C57" s="351"/>
      <c r="D57" s="351"/>
      <c r="E57" s="935"/>
      <c r="F57" s="935"/>
      <c r="G57" s="972"/>
      <c r="H57" s="973" t="s">
        <v>582</v>
      </c>
      <c r="I57" s="1010" t="s">
        <v>1262</v>
      </c>
      <c r="J57" s="66" t="s">
        <v>1805</v>
      </c>
      <c r="K57" s="385"/>
      <c r="M57" s="349" t="str">
        <f t="shared" si="4"/>
        <v>○</v>
      </c>
      <c r="O57" s="156"/>
    </row>
    <row r="58" spans="1:15" ht="13.8" thickBot="1">
      <c r="A58" s="328">
        <v>58</v>
      </c>
      <c r="C58" s="351"/>
      <c r="D58" s="351"/>
      <c r="E58" s="935"/>
      <c r="F58" s="936" t="s">
        <v>1274</v>
      </c>
      <c r="G58" s="937"/>
      <c r="H58" s="938" t="s">
        <v>583</v>
      </c>
      <c r="I58" s="997" t="s">
        <v>1262</v>
      </c>
      <c r="J58" s="66" t="s">
        <v>1805</v>
      </c>
      <c r="K58" s="348" t="s">
        <v>584</v>
      </c>
      <c r="M58" s="349" t="str">
        <f t="shared" si="4"/>
        <v>○</v>
      </c>
      <c r="O58" s="156"/>
    </row>
    <row r="59" spans="1:15" ht="13.8" thickBot="1">
      <c r="A59" s="328">
        <v>59</v>
      </c>
      <c r="C59" s="351"/>
      <c r="D59" s="351"/>
      <c r="E59" s="935"/>
      <c r="F59" s="935"/>
      <c r="G59" s="957"/>
      <c r="H59" s="974" t="s">
        <v>585</v>
      </c>
      <c r="I59" s="1011" t="s">
        <v>1262</v>
      </c>
      <c r="J59" s="66" t="s">
        <v>1805</v>
      </c>
      <c r="K59" s="386"/>
      <c r="M59" s="349" t="str">
        <f t="shared" si="4"/>
        <v>○</v>
      </c>
      <c r="O59" s="156"/>
    </row>
    <row r="60" spans="1:15" ht="13.8" thickBot="1">
      <c r="A60" s="328">
        <v>60</v>
      </c>
      <c r="C60" s="351"/>
      <c r="D60" s="351"/>
      <c r="E60" s="935"/>
      <c r="F60" s="939"/>
      <c r="G60" s="940"/>
      <c r="H60" s="970" t="s">
        <v>586</v>
      </c>
      <c r="I60" s="1007" t="s">
        <v>1262</v>
      </c>
      <c r="J60" s="66" t="s">
        <v>1805</v>
      </c>
      <c r="K60" s="379"/>
      <c r="M60" s="349" t="str">
        <f t="shared" si="4"/>
        <v>○</v>
      </c>
      <c r="O60" s="156"/>
    </row>
    <row r="61" spans="1:15" ht="27" thickBot="1">
      <c r="A61" s="328">
        <v>61</v>
      </c>
      <c r="C61" s="351"/>
      <c r="D61" s="351"/>
      <c r="E61" s="935"/>
      <c r="F61" s="935" t="s">
        <v>1275</v>
      </c>
      <c r="G61" s="957"/>
      <c r="H61" s="938" t="s">
        <v>587</v>
      </c>
      <c r="I61" s="997" t="s">
        <v>1262</v>
      </c>
      <c r="J61" s="66" t="s">
        <v>1805</v>
      </c>
      <c r="K61" s="348"/>
      <c r="M61" s="349" t="str">
        <f t="shared" si="4"/>
        <v>○</v>
      </c>
      <c r="O61" s="156"/>
    </row>
    <row r="62" spans="1:15" ht="13.8" thickBot="1">
      <c r="A62" s="328">
        <v>62</v>
      </c>
      <c r="C62" s="351"/>
      <c r="D62" s="351"/>
      <c r="E62" s="935"/>
      <c r="F62" s="935"/>
      <c r="G62" s="957"/>
      <c r="H62" s="941" t="s">
        <v>588</v>
      </c>
      <c r="I62" s="1009" t="s">
        <v>1262</v>
      </c>
      <c r="J62" s="66" t="s">
        <v>1805</v>
      </c>
      <c r="K62" s="350"/>
      <c r="M62" s="349" t="str">
        <f t="shared" si="4"/>
        <v>○</v>
      </c>
      <c r="O62" s="156"/>
    </row>
    <row r="63" spans="1:15" ht="13.8" thickBot="1">
      <c r="A63" s="328">
        <v>63</v>
      </c>
      <c r="C63" s="351"/>
      <c r="D63" s="351"/>
      <c r="E63" s="935"/>
      <c r="F63" s="936" t="s">
        <v>1276</v>
      </c>
      <c r="G63" s="937"/>
      <c r="H63" s="942" t="s">
        <v>589</v>
      </c>
      <c r="I63" s="366" t="s">
        <v>1262</v>
      </c>
      <c r="J63" s="66" t="s">
        <v>1805</v>
      </c>
      <c r="K63" s="367"/>
      <c r="M63" s="349" t="str">
        <f t="shared" si="4"/>
        <v>○</v>
      </c>
      <c r="O63" s="156"/>
    </row>
    <row r="64" spans="1:15" ht="27" thickBot="1">
      <c r="A64" s="328">
        <v>64</v>
      </c>
      <c r="C64" s="351"/>
      <c r="D64" s="351"/>
      <c r="E64" s="935"/>
      <c r="F64" s="935"/>
      <c r="G64" s="943" t="s">
        <v>547</v>
      </c>
      <c r="H64" s="944" t="s">
        <v>590</v>
      </c>
      <c r="I64" s="368" t="s">
        <v>1262</v>
      </c>
      <c r="J64" s="66" t="s">
        <v>1805</v>
      </c>
      <c r="K64" s="369"/>
      <c r="M64" s="349" t="str">
        <f t="shared" si="4"/>
        <v>○</v>
      </c>
      <c r="O64" s="156"/>
    </row>
    <row r="65" spans="1:15" ht="27" thickBot="1">
      <c r="A65" s="328">
        <v>65</v>
      </c>
      <c r="C65" s="351"/>
      <c r="D65" s="351"/>
      <c r="E65" s="935"/>
      <c r="F65" s="939"/>
      <c r="G65" s="945" t="s">
        <v>549</v>
      </c>
      <c r="H65" s="946" t="s">
        <v>591</v>
      </c>
      <c r="I65" s="370" t="s">
        <v>1263</v>
      </c>
      <c r="J65" s="66" t="s">
        <v>1805</v>
      </c>
      <c r="K65" s="371" t="s">
        <v>592</v>
      </c>
      <c r="M65" s="349" t="str">
        <f>IF(ISBLANK(J65),"未入力あり","〇")</f>
        <v>〇</v>
      </c>
      <c r="O65" s="156"/>
    </row>
    <row r="66" spans="1:15" ht="40.200000000000003" thickBot="1">
      <c r="A66" s="328">
        <v>66</v>
      </c>
      <c r="C66" s="351"/>
      <c r="D66" s="351"/>
      <c r="E66" s="935"/>
      <c r="F66" s="935" t="s">
        <v>1277</v>
      </c>
      <c r="G66" s="957"/>
      <c r="H66" s="938" t="s">
        <v>593</v>
      </c>
      <c r="I66" s="374" t="s">
        <v>1262</v>
      </c>
      <c r="J66" s="66" t="s">
        <v>1805</v>
      </c>
      <c r="K66" s="375" t="s">
        <v>594</v>
      </c>
      <c r="M66" s="349" t="str">
        <f t="shared" si="4"/>
        <v>○</v>
      </c>
      <c r="O66" s="156"/>
    </row>
    <row r="67" spans="1:15" ht="13.8" thickBot="1">
      <c r="A67" s="328">
        <v>67</v>
      </c>
      <c r="C67" s="351"/>
      <c r="D67" s="351"/>
      <c r="E67" s="935"/>
      <c r="F67" s="935"/>
      <c r="G67" s="957"/>
      <c r="H67" s="941" t="s">
        <v>1282</v>
      </c>
      <c r="I67" s="996" t="s">
        <v>1268</v>
      </c>
      <c r="J67" s="1014" t="s">
        <v>1805</v>
      </c>
      <c r="K67" s="1015"/>
      <c r="M67" s="349" t="str">
        <f>IF(ISBLANK(J67),"未入力あり","〇")</f>
        <v>〇</v>
      </c>
      <c r="O67" s="156"/>
    </row>
    <row r="68" spans="1:15" ht="41.4" customHeight="1" thickBot="1">
      <c r="A68" s="328">
        <v>68</v>
      </c>
      <c r="C68" s="351"/>
      <c r="D68" s="351"/>
      <c r="E68" s="935"/>
      <c r="F68" s="969" t="s">
        <v>1278</v>
      </c>
      <c r="G68" s="950"/>
      <c r="H68" s="951" t="s">
        <v>1589</v>
      </c>
      <c r="I68" s="996" t="s">
        <v>1262</v>
      </c>
      <c r="J68" s="1014" t="s">
        <v>1805</v>
      </c>
      <c r="K68" s="1015"/>
      <c r="M68" s="349" t="str">
        <f t="shared" si="4"/>
        <v>○</v>
      </c>
      <c r="O68" s="156"/>
    </row>
    <row r="69" spans="1:15" ht="27" thickBot="1">
      <c r="A69" s="328">
        <v>69</v>
      </c>
      <c r="C69" s="351"/>
      <c r="D69" s="351"/>
      <c r="E69" s="935"/>
      <c r="F69" s="935" t="s">
        <v>1279</v>
      </c>
      <c r="G69" s="957"/>
      <c r="H69" s="951" t="s">
        <v>595</v>
      </c>
      <c r="I69" s="996" t="s">
        <v>1262</v>
      </c>
      <c r="J69" s="1014" t="s">
        <v>1805</v>
      </c>
      <c r="K69" s="1015"/>
      <c r="M69" s="349" t="str">
        <f t="shared" si="4"/>
        <v>○</v>
      </c>
      <c r="O69" s="156"/>
    </row>
    <row r="70" spans="1:15" ht="13.8" thickBot="1">
      <c r="A70" s="328">
        <v>70</v>
      </c>
      <c r="C70" s="351"/>
      <c r="D70" s="351"/>
      <c r="E70" s="935"/>
      <c r="F70" s="936" t="s">
        <v>1280</v>
      </c>
      <c r="G70" s="937"/>
      <c r="H70" s="942" t="s">
        <v>596</v>
      </c>
      <c r="I70" s="994" t="s">
        <v>1262</v>
      </c>
      <c r="J70" s="1014" t="s">
        <v>1805</v>
      </c>
      <c r="K70" s="1016" t="s">
        <v>597</v>
      </c>
      <c r="M70" s="349" t="str">
        <f t="shared" si="4"/>
        <v>○</v>
      </c>
      <c r="O70" s="156"/>
    </row>
    <row r="71" spans="1:15" ht="13.8" thickBot="1">
      <c r="A71" s="328">
        <v>71</v>
      </c>
      <c r="C71" s="351"/>
      <c r="D71" s="351"/>
      <c r="E71" s="935"/>
      <c r="F71" s="935"/>
      <c r="G71" s="971" t="s">
        <v>547</v>
      </c>
      <c r="H71" s="975" t="s">
        <v>598</v>
      </c>
      <c r="I71" s="1017" t="s">
        <v>1262</v>
      </c>
      <c r="J71" s="1014" t="s">
        <v>1805</v>
      </c>
      <c r="K71" s="1018"/>
      <c r="M71" s="349" t="str">
        <f>+IF(I71="A",IF(ISBLANK(J71),"未入力あり",IF(J71="はい","○","×")),"")</f>
        <v>○</v>
      </c>
      <c r="O71" s="156"/>
    </row>
    <row r="72" spans="1:15" ht="27" thickBot="1">
      <c r="A72" s="328">
        <v>72</v>
      </c>
      <c r="C72" s="351"/>
      <c r="D72" s="351"/>
      <c r="E72" s="935"/>
      <c r="F72" s="935"/>
      <c r="G72" s="976"/>
      <c r="H72" s="975" t="s">
        <v>599</v>
      </c>
      <c r="I72" s="1019" t="s">
        <v>1262</v>
      </c>
      <c r="J72" s="1020" t="str">
        <f>+IF(AND(ISBLANK(J73),ISBLANK(J74)),"",IF(OR(J73="はい",J74="はい"),"はい","いいえ "))</f>
        <v>はい</v>
      </c>
      <c r="K72" s="1018" t="s">
        <v>1600</v>
      </c>
      <c r="M72" s="349" t="str">
        <f>+IF(I72="A",IF(AND(ISBLANK(J73),ISBLANK(J74)),"未入力あり",IF(J72="はい","○","×")),"")</f>
        <v>○</v>
      </c>
      <c r="O72" s="156"/>
    </row>
    <row r="73" spans="1:15" ht="13.8" thickBot="1">
      <c r="A73" s="328">
        <v>73</v>
      </c>
      <c r="C73" s="351"/>
      <c r="D73" s="351"/>
      <c r="E73" s="935"/>
      <c r="F73" s="935"/>
      <c r="G73" s="976"/>
      <c r="H73" s="977" t="s">
        <v>600</v>
      </c>
      <c r="I73" s="389" t="s">
        <v>565</v>
      </c>
      <c r="J73" s="66" t="s">
        <v>1805</v>
      </c>
      <c r="K73" s="380"/>
      <c r="M73" s="349" t="str">
        <f>IF(ISBLANK(J73),"未入力あり","〇")</f>
        <v>〇</v>
      </c>
      <c r="O73" s="156"/>
    </row>
    <row r="74" spans="1:15" ht="13.8" thickBot="1">
      <c r="A74" s="328">
        <v>74</v>
      </c>
      <c r="C74" s="351"/>
      <c r="D74" s="351"/>
      <c r="E74" s="935"/>
      <c r="F74" s="935"/>
      <c r="G74" s="976"/>
      <c r="H74" s="978" t="s">
        <v>601</v>
      </c>
      <c r="I74" s="390" t="s">
        <v>565</v>
      </c>
      <c r="J74" s="66" t="s">
        <v>1804</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1805</v>
      </c>
      <c r="K75" s="393"/>
      <c r="M75" s="349" t="str">
        <f>+IF(I75="A",IF(ISBLANK(J75),"未入力あり",IF(J75="はい","○","×")),"")</f>
        <v>○</v>
      </c>
      <c r="O75" s="156"/>
    </row>
    <row r="76" spans="1:15" ht="13.8" thickBot="1">
      <c r="A76" s="328">
        <v>76</v>
      </c>
      <c r="C76" s="351"/>
      <c r="D76" s="351"/>
      <c r="E76" s="935"/>
      <c r="F76" s="935"/>
      <c r="G76" s="971" t="s">
        <v>549</v>
      </c>
      <c r="H76" s="975" t="s">
        <v>603</v>
      </c>
      <c r="I76" s="1017" t="s">
        <v>1268</v>
      </c>
      <c r="J76" s="66" t="s">
        <v>1805</v>
      </c>
      <c r="K76" s="388"/>
      <c r="M76" s="349" t="str">
        <f>IF(ISBLANK(J76),"未入力あり","〇")</f>
        <v>〇</v>
      </c>
      <c r="O76" s="156"/>
    </row>
    <row r="77" spans="1:15" ht="27" thickBot="1">
      <c r="A77" s="328">
        <v>77</v>
      </c>
      <c r="C77" s="351"/>
      <c r="D77" s="351"/>
      <c r="E77" s="935"/>
      <c r="F77" s="935"/>
      <c r="G77" s="976"/>
      <c r="H77" s="979" t="s">
        <v>604</v>
      </c>
      <c r="I77" s="394" t="s">
        <v>1262</v>
      </c>
      <c r="J77" s="66" t="s">
        <v>1805</v>
      </c>
      <c r="K77" s="395"/>
      <c r="M77" s="349" t="str">
        <f>+IF(I77="A",IF(ISBLANK(J77),"未入力あり",IF(J77="はい","○","×")),"")</f>
        <v>○</v>
      </c>
      <c r="O77" s="156"/>
    </row>
    <row r="78" spans="1:15" ht="13.8" thickBot="1">
      <c r="A78" s="328">
        <v>78</v>
      </c>
      <c r="C78" s="351"/>
      <c r="D78" s="351"/>
      <c r="E78" s="935"/>
      <c r="F78" s="939"/>
      <c r="G78" s="972"/>
      <c r="H78" s="980" t="s">
        <v>605</v>
      </c>
      <c r="I78" s="396" t="s">
        <v>1262</v>
      </c>
      <c r="J78" s="66" t="s">
        <v>1805</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1805</v>
      </c>
      <c r="K79" s="348" t="s">
        <v>607</v>
      </c>
      <c r="M79" s="349" t="str">
        <f>+IF(I79="A",IF(ISBLANK(J79),"未入力あり",IF(J79="はい","○","×")),"")</f>
        <v>○</v>
      </c>
      <c r="O79" s="156"/>
    </row>
    <row r="80" spans="1:15" ht="13.8" thickBot="1">
      <c r="A80" s="328">
        <v>80</v>
      </c>
      <c r="C80" s="351"/>
      <c r="D80" s="351"/>
      <c r="E80" s="939"/>
      <c r="F80" s="939"/>
      <c r="G80" s="940"/>
      <c r="H80" s="941" t="s">
        <v>608</v>
      </c>
      <c r="I80" s="365" t="s">
        <v>1262</v>
      </c>
      <c r="J80" s="66" t="s">
        <v>1805</v>
      </c>
      <c r="K80" s="350"/>
      <c r="M80" s="349" t="str">
        <f>+IF(I80="A",IF(ISBLANK(J80),"未入力あり",IF(J80="はい","○","×")),"")</f>
        <v>○</v>
      </c>
      <c r="O80" s="156"/>
    </row>
    <row r="81" spans="1:15" ht="13.8" thickBot="1">
      <c r="A81" s="328">
        <v>81</v>
      </c>
      <c r="C81" s="351"/>
      <c r="D81" s="351"/>
      <c r="E81" s="931" t="s">
        <v>1283</v>
      </c>
      <c r="F81" s="932" t="s">
        <v>609</v>
      </c>
      <c r="G81" s="933"/>
      <c r="H81" s="934"/>
      <c r="I81" s="360"/>
      <c r="J81" s="1153"/>
      <c r="K81" s="361"/>
      <c r="O81" s="156"/>
    </row>
    <row r="82" spans="1:15" ht="13.8" thickBot="1">
      <c r="A82" s="328">
        <v>82</v>
      </c>
      <c r="C82" s="351"/>
      <c r="D82" s="351"/>
      <c r="E82" s="935"/>
      <c r="F82" s="936" t="s">
        <v>1271</v>
      </c>
      <c r="G82" s="937"/>
      <c r="H82" s="942" t="s">
        <v>610</v>
      </c>
      <c r="I82" s="366" t="s">
        <v>1262</v>
      </c>
      <c r="J82" s="66" t="s">
        <v>1805</v>
      </c>
      <c r="K82" s="367"/>
      <c r="M82" s="349" t="str">
        <f>+IF(I82="A",IF(ISBLANK(J82),"未入力あり",IF(J82="はい","○","×")),"")</f>
        <v>○</v>
      </c>
      <c r="O82" s="156"/>
    </row>
    <row r="83" spans="1:15" ht="27" thickBot="1">
      <c r="A83" s="328">
        <v>83</v>
      </c>
      <c r="C83" s="351"/>
      <c r="D83" s="351"/>
      <c r="E83" s="935"/>
      <c r="F83" s="935"/>
      <c r="G83" s="971" t="s">
        <v>547</v>
      </c>
      <c r="H83" s="975" t="s">
        <v>611</v>
      </c>
      <c r="I83" s="387" t="s">
        <v>1262</v>
      </c>
      <c r="J83" s="66" t="s">
        <v>1805</v>
      </c>
      <c r="K83" s="388" t="s">
        <v>597</v>
      </c>
      <c r="M83" s="349" t="str">
        <f>+IF(I83="A",IF(ISBLANK(J83),"未入力あり",IF(J83="はい","○","×")),"")</f>
        <v>○</v>
      </c>
      <c r="O83" s="156"/>
    </row>
    <row r="84" spans="1:15" ht="27" thickBot="1">
      <c r="A84" s="328">
        <v>84</v>
      </c>
      <c r="C84" s="351"/>
      <c r="D84" s="351"/>
      <c r="E84" s="935"/>
      <c r="F84" s="935"/>
      <c r="G84" s="971" t="s">
        <v>549</v>
      </c>
      <c r="H84" s="975" t="s">
        <v>612</v>
      </c>
      <c r="I84" s="1017" t="s">
        <v>1262</v>
      </c>
      <c r="J84" s="1014" t="s">
        <v>1805</v>
      </c>
      <c r="K84" s="1018"/>
      <c r="M84" s="349" t="str">
        <f>+IF(I84="A",IF(ISBLANK(J84),"未入力あり",IF(J84="はい","○","×")),"")</f>
        <v>○</v>
      </c>
      <c r="O84" s="156"/>
    </row>
    <row r="85" spans="1:15" ht="27" thickBot="1">
      <c r="A85" s="328">
        <v>85</v>
      </c>
      <c r="C85" s="351"/>
      <c r="D85" s="351"/>
      <c r="E85" s="935"/>
      <c r="F85" s="935"/>
      <c r="G85" s="971" t="s">
        <v>551</v>
      </c>
      <c r="H85" s="975" t="s">
        <v>613</v>
      </c>
      <c r="I85" s="1017" t="s">
        <v>1268</v>
      </c>
      <c r="J85" s="1014" t="s">
        <v>1805</v>
      </c>
      <c r="K85" s="1018"/>
      <c r="M85" s="349" t="str">
        <f t="shared" ref="M85:M86" si="5">IF(ISBLANK(J85),"未入力あり","〇")</f>
        <v>〇</v>
      </c>
      <c r="O85" s="156"/>
    </row>
    <row r="86" spans="1:15" ht="28.2" customHeight="1" thickBot="1">
      <c r="A86" s="328">
        <v>86</v>
      </c>
      <c r="C86" s="351"/>
      <c r="D86" s="351"/>
      <c r="E86" s="935"/>
      <c r="F86" s="935"/>
      <c r="G86" s="945" t="s">
        <v>559</v>
      </c>
      <c r="H86" s="946" t="s">
        <v>614</v>
      </c>
      <c r="I86" s="993" t="s">
        <v>1268</v>
      </c>
      <c r="J86" s="1014" t="s">
        <v>1805</v>
      </c>
      <c r="K86" s="1021"/>
      <c r="M86" s="349" t="str">
        <f t="shared" si="5"/>
        <v>〇</v>
      </c>
      <c r="O86" s="156"/>
    </row>
    <row r="87" spans="1:15" ht="13.8" thickBot="1">
      <c r="A87" s="328">
        <v>87</v>
      </c>
      <c r="C87" s="351"/>
      <c r="D87" s="351"/>
      <c r="E87" s="935"/>
      <c r="F87" s="969" t="s">
        <v>1272</v>
      </c>
      <c r="G87" s="950"/>
      <c r="H87" s="951" t="s">
        <v>615</v>
      </c>
      <c r="I87" s="996" t="s">
        <v>1262</v>
      </c>
      <c r="J87" s="1014" t="s">
        <v>1805</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1805</v>
      </c>
      <c r="K88" s="1023"/>
      <c r="M88" s="349" t="str">
        <f t="shared" si="4"/>
        <v>○</v>
      </c>
      <c r="O88" s="156"/>
    </row>
    <row r="89" spans="1:15" ht="41.25" customHeight="1" thickBot="1">
      <c r="A89" s="328">
        <v>89</v>
      </c>
      <c r="C89" s="351"/>
      <c r="D89" s="351"/>
      <c r="E89" s="935"/>
      <c r="F89" s="935"/>
      <c r="G89" s="957"/>
      <c r="H89" s="982" t="s">
        <v>1285</v>
      </c>
      <c r="I89" s="1024" t="s">
        <v>1262</v>
      </c>
      <c r="J89" s="1014" t="s">
        <v>1805</v>
      </c>
      <c r="K89" s="1023"/>
      <c r="M89" s="349" t="str">
        <f t="shared" si="4"/>
        <v>○</v>
      </c>
      <c r="O89" s="156"/>
    </row>
    <row r="90" spans="1:15" ht="27" customHeight="1" thickBot="1">
      <c r="A90" s="328">
        <v>90</v>
      </c>
      <c r="C90" s="351"/>
      <c r="D90" s="351"/>
      <c r="E90" s="935"/>
      <c r="F90" s="935"/>
      <c r="G90" s="957"/>
      <c r="H90" s="981" t="s">
        <v>1286</v>
      </c>
      <c r="I90" s="1022" t="s">
        <v>1287</v>
      </c>
      <c r="J90" s="100" t="s">
        <v>1806</v>
      </c>
      <c r="K90" s="1023"/>
      <c r="M90" s="349" t="str">
        <f>IF(ISBLANK(J90),"未入力あり","〇")</f>
        <v>〇</v>
      </c>
      <c r="O90" s="156"/>
    </row>
    <row r="91" spans="1:15" ht="27" thickBot="1">
      <c r="A91" s="328">
        <v>91</v>
      </c>
      <c r="C91" s="351"/>
      <c r="D91" s="351"/>
      <c r="E91" s="935"/>
      <c r="F91" s="969" t="s">
        <v>1274</v>
      </c>
      <c r="G91" s="950"/>
      <c r="H91" s="951" t="s">
        <v>616</v>
      </c>
      <c r="I91" s="996" t="s">
        <v>1268</v>
      </c>
      <c r="J91" s="1014" t="s">
        <v>1805</v>
      </c>
      <c r="K91" s="1015" t="s">
        <v>1601</v>
      </c>
      <c r="M91" s="349" t="str">
        <f>IF(ISBLANK(J91),"未入力あり","〇")</f>
        <v>〇</v>
      </c>
      <c r="O91" s="156"/>
    </row>
    <row r="92" spans="1:15" ht="27" thickBot="1">
      <c r="A92" s="328">
        <v>92</v>
      </c>
      <c r="C92" s="351"/>
      <c r="D92" s="351"/>
      <c r="E92" s="935"/>
      <c r="F92" s="935" t="s">
        <v>1275</v>
      </c>
      <c r="G92" s="957"/>
      <c r="H92" s="981" t="s">
        <v>617</v>
      </c>
      <c r="I92" s="1022" t="s">
        <v>1262</v>
      </c>
      <c r="J92" s="1014" t="s">
        <v>1805</v>
      </c>
      <c r="K92" s="1023"/>
      <c r="M92" s="349" t="str">
        <f t="shared" si="4"/>
        <v>○</v>
      </c>
      <c r="O92" s="156"/>
    </row>
    <row r="93" spans="1:15" ht="27" thickBot="1">
      <c r="A93" s="328">
        <v>93</v>
      </c>
      <c r="C93" s="351"/>
      <c r="D93" s="351"/>
      <c r="E93" s="935"/>
      <c r="F93" s="969" t="s">
        <v>1276</v>
      </c>
      <c r="G93" s="950"/>
      <c r="H93" s="951" t="s">
        <v>618</v>
      </c>
      <c r="I93" s="996" t="s">
        <v>1262</v>
      </c>
      <c r="J93" s="1014" t="s">
        <v>1805</v>
      </c>
      <c r="K93" s="1015"/>
      <c r="M93" s="349" t="str">
        <f t="shared" si="4"/>
        <v>○</v>
      </c>
      <c r="O93" s="156"/>
    </row>
    <row r="94" spans="1:15" ht="27" thickBot="1">
      <c r="A94" s="328">
        <v>94</v>
      </c>
      <c r="C94" s="351"/>
      <c r="D94" s="351"/>
      <c r="E94" s="935"/>
      <c r="F94" s="935" t="s">
        <v>1277</v>
      </c>
      <c r="G94" s="957"/>
      <c r="H94" s="981" t="s">
        <v>1510</v>
      </c>
      <c r="I94" s="1022" t="s">
        <v>1262</v>
      </c>
      <c r="J94" s="1014" t="s">
        <v>1805</v>
      </c>
      <c r="K94" s="1023"/>
      <c r="M94" s="349" t="str">
        <f t="shared" si="4"/>
        <v>○</v>
      </c>
      <c r="O94" s="156"/>
    </row>
    <row r="95" spans="1:15" ht="13.8" thickBot="1">
      <c r="A95" s="328">
        <v>95</v>
      </c>
      <c r="C95" s="351"/>
      <c r="D95" s="351"/>
      <c r="E95" s="935"/>
      <c r="F95" s="935"/>
      <c r="G95" s="957"/>
      <c r="H95" s="983" t="s">
        <v>1466</v>
      </c>
      <c r="I95" s="1024" t="s">
        <v>1467</v>
      </c>
      <c r="J95" s="1014" t="s">
        <v>1805</v>
      </c>
      <c r="K95" s="1025" t="s">
        <v>1561</v>
      </c>
      <c r="M95" s="349" t="str">
        <f t="shared" ref="M95" si="6">IF(ISBLANK(J95),"未入力あり","〇")</f>
        <v>〇</v>
      </c>
      <c r="O95" s="156"/>
    </row>
    <row r="96" spans="1:15" ht="32.25" customHeight="1" thickBot="1">
      <c r="A96" s="328">
        <v>96</v>
      </c>
      <c r="C96" s="351"/>
      <c r="D96" s="351"/>
      <c r="E96" s="935"/>
      <c r="F96" s="935"/>
      <c r="G96" s="957"/>
      <c r="H96" s="941" t="s">
        <v>1511</v>
      </c>
      <c r="I96" s="995" t="s">
        <v>1262</v>
      </c>
      <c r="J96" s="1014" t="s">
        <v>1805</v>
      </c>
      <c r="K96" s="1026"/>
      <c r="M96" s="349" t="str">
        <f t="shared" si="4"/>
        <v>○</v>
      </c>
      <c r="O96" s="156"/>
    </row>
    <row r="97" spans="1:21" ht="38.25" customHeight="1" thickBot="1">
      <c r="A97" s="328">
        <v>97</v>
      </c>
      <c r="C97" s="351"/>
      <c r="D97" s="351"/>
      <c r="E97" s="939"/>
      <c r="F97" s="969" t="s">
        <v>1278</v>
      </c>
      <c r="G97" s="950"/>
      <c r="H97" s="951" t="s">
        <v>619</v>
      </c>
      <c r="I97" s="996" t="s">
        <v>1262</v>
      </c>
      <c r="J97" s="1014" t="s">
        <v>1805</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1445</v>
      </c>
      <c r="O98" s="156"/>
    </row>
    <row r="99" spans="1:21" ht="27" thickBot="1">
      <c r="A99" s="328">
        <v>99</v>
      </c>
      <c r="C99" s="351"/>
      <c r="D99" s="351"/>
      <c r="E99" s="935"/>
      <c r="F99" s="936" t="s">
        <v>1449</v>
      </c>
      <c r="G99" s="937"/>
      <c r="H99" s="938" t="s">
        <v>622</v>
      </c>
      <c r="I99" s="363" t="s">
        <v>1262</v>
      </c>
      <c r="J99" s="66" t="s">
        <v>1805</v>
      </c>
      <c r="K99" s="348"/>
      <c r="M99" s="349" t="str">
        <f t="shared" si="4"/>
        <v>○</v>
      </c>
      <c r="O99" s="156"/>
    </row>
    <row r="100" spans="1:21" ht="13.8" thickBot="1">
      <c r="A100" s="328">
        <v>100</v>
      </c>
      <c r="C100" s="351"/>
      <c r="D100" s="351"/>
      <c r="E100" s="935"/>
      <c r="F100" s="935"/>
      <c r="G100" s="957"/>
      <c r="H100" s="974" t="s">
        <v>623</v>
      </c>
      <c r="I100" s="399" t="s">
        <v>1262</v>
      </c>
      <c r="J100" s="66" t="s">
        <v>1805</v>
      </c>
      <c r="K100" s="386"/>
      <c r="M100" s="349" t="str">
        <f t="shared" si="4"/>
        <v>○</v>
      </c>
      <c r="O100" s="156"/>
    </row>
    <row r="101" spans="1:21" ht="27" thickBot="1">
      <c r="A101" s="328">
        <v>101</v>
      </c>
      <c r="C101" s="351"/>
      <c r="D101" s="351"/>
      <c r="E101" s="935"/>
      <c r="F101" s="939"/>
      <c r="G101" s="948"/>
      <c r="H101" s="984" t="s">
        <v>1590</v>
      </c>
      <c r="I101" s="400" t="s">
        <v>565</v>
      </c>
      <c r="J101" s="327">
        <v>18</v>
      </c>
      <c r="K101" s="401"/>
      <c r="M101" s="349" t="str">
        <f>IF(ISBLANK(J101),"未入力あり","〇")</f>
        <v>〇</v>
      </c>
      <c r="O101" s="156"/>
      <c r="T101" s="372"/>
      <c r="U101" s="402"/>
    </row>
    <row r="102" spans="1:21" ht="27" thickBot="1">
      <c r="A102" s="328">
        <v>102</v>
      </c>
      <c r="C102" s="351"/>
      <c r="D102" s="351"/>
      <c r="E102" s="935"/>
      <c r="F102" s="936" t="s">
        <v>1447</v>
      </c>
      <c r="G102" s="937"/>
      <c r="H102" s="938" t="s">
        <v>1591</v>
      </c>
      <c r="I102" s="363" t="s">
        <v>1262</v>
      </c>
      <c r="J102" s="66" t="s">
        <v>1805</v>
      </c>
      <c r="K102" s="348"/>
      <c r="M102" s="349" t="str">
        <f>+IF(I102="A",IF(ISBLANK(J102),"未入力あり",IF(J102="はい","○","×")),"")</f>
        <v>○</v>
      </c>
      <c r="O102" s="156"/>
    </row>
    <row r="103" spans="1:21" ht="13.8" thickBot="1">
      <c r="A103" s="328">
        <v>103</v>
      </c>
      <c r="C103" s="351"/>
      <c r="D103" s="351"/>
      <c r="E103" s="939"/>
      <c r="F103" s="969" t="s">
        <v>1448</v>
      </c>
      <c r="G103" s="950"/>
      <c r="H103" s="951" t="s">
        <v>624</v>
      </c>
      <c r="I103" s="374" t="s">
        <v>1263</v>
      </c>
      <c r="J103" s="66" t="s">
        <v>1804</v>
      </c>
      <c r="K103" s="375"/>
      <c r="M103" s="349" t="str">
        <f>IF(ISBLANK(J103),"未入力あり","〇")</f>
        <v>〇</v>
      </c>
      <c r="O103" s="156"/>
    </row>
    <row r="104" spans="1:21" ht="13.8" thickBot="1">
      <c r="A104" s="328">
        <v>104</v>
      </c>
      <c r="C104" s="351"/>
      <c r="D104" s="351"/>
      <c r="E104" s="931" t="s">
        <v>746</v>
      </c>
      <c r="F104" s="932" t="s">
        <v>625</v>
      </c>
      <c r="G104" s="933"/>
      <c r="H104" s="934"/>
      <c r="I104" s="360"/>
      <c r="J104" s="1153"/>
      <c r="K104" s="361"/>
      <c r="O104" s="156"/>
    </row>
    <row r="105" spans="1:21" ht="27" thickBot="1">
      <c r="A105" s="328">
        <v>105</v>
      </c>
      <c r="C105" s="351"/>
      <c r="D105" s="351"/>
      <c r="E105" s="935"/>
      <c r="F105" s="969" t="s">
        <v>1449</v>
      </c>
      <c r="G105" s="937"/>
      <c r="H105" s="938" t="s">
        <v>1592</v>
      </c>
      <c r="I105" s="363" t="s">
        <v>1262</v>
      </c>
      <c r="J105" s="66" t="s">
        <v>1805</v>
      </c>
      <c r="K105" s="348"/>
      <c r="M105" s="349" t="str">
        <f t="shared" si="4"/>
        <v>○</v>
      </c>
      <c r="O105" s="156"/>
    </row>
    <row r="106" spans="1:21" ht="29.4" customHeight="1" thickBot="1">
      <c r="A106" s="328">
        <v>106</v>
      </c>
      <c r="C106" s="351"/>
      <c r="D106" s="351"/>
      <c r="E106" s="935"/>
      <c r="F106" s="969" t="s">
        <v>1447</v>
      </c>
      <c r="G106" s="950"/>
      <c r="H106" s="951" t="s">
        <v>626</v>
      </c>
      <c r="I106" s="374" t="s">
        <v>1262</v>
      </c>
      <c r="J106" s="66" t="s">
        <v>1805</v>
      </c>
      <c r="K106" s="375"/>
      <c r="M106" s="349" t="str">
        <f t="shared" si="4"/>
        <v>○</v>
      </c>
      <c r="O106" s="156"/>
    </row>
    <row r="107" spans="1:21" ht="27" thickBot="1">
      <c r="A107" s="328">
        <v>107</v>
      </c>
      <c r="C107" s="351"/>
      <c r="D107" s="351"/>
      <c r="E107" s="935"/>
      <c r="F107" s="935" t="s">
        <v>1448</v>
      </c>
      <c r="G107" s="957"/>
      <c r="H107" s="981" t="s">
        <v>1593</v>
      </c>
      <c r="I107" s="1022" t="s">
        <v>1262</v>
      </c>
      <c r="J107" s="1014" t="s">
        <v>1805</v>
      </c>
      <c r="K107" s="1023" t="s">
        <v>1573</v>
      </c>
      <c r="M107" s="349" t="str">
        <f t="shared" si="4"/>
        <v>○</v>
      </c>
      <c r="O107" s="156"/>
    </row>
    <row r="108" spans="1:21" ht="27" thickBot="1">
      <c r="A108" s="328">
        <v>108</v>
      </c>
      <c r="C108" s="351"/>
      <c r="D108" s="351"/>
      <c r="E108" s="935"/>
      <c r="F108" s="935"/>
      <c r="G108" s="957"/>
      <c r="H108" s="974" t="s">
        <v>1594</v>
      </c>
      <c r="I108" s="1024" t="s">
        <v>1262</v>
      </c>
      <c r="J108" s="1014" t="s">
        <v>1805</v>
      </c>
      <c r="K108" s="982"/>
      <c r="M108" s="349" t="str">
        <f t="shared" si="4"/>
        <v>○</v>
      </c>
      <c r="O108" s="156"/>
    </row>
    <row r="109" spans="1:21" ht="13.8" thickBot="1">
      <c r="A109" s="328">
        <v>109</v>
      </c>
      <c r="C109" s="351"/>
      <c r="D109" s="351"/>
      <c r="E109" s="935"/>
      <c r="F109" s="935"/>
      <c r="G109" s="957"/>
      <c r="H109" s="974" t="s">
        <v>1509</v>
      </c>
      <c r="I109" s="1028" t="s">
        <v>1268</v>
      </c>
      <c r="J109" s="1014" t="s">
        <v>1805</v>
      </c>
      <c r="K109" s="1025"/>
      <c r="M109" s="349" t="str">
        <f t="shared" ref="M109:M117" si="7">IF(ISBLANK(J109),"未入力あり","〇")</f>
        <v>〇</v>
      </c>
      <c r="O109" s="156"/>
    </row>
    <row r="110" spans="1:21" ht="13.8" thickBot="1">
      <c r="A110" s="328">
        <v>110</v>
      </c>
      <c r="C110" s="351"/>
      <c r="D110" s="351"/>
      <c r="E110" s="935"/>
      <c r="F110" s="935"/>
      <c r="G110" s="957"/>
      <c r="H110" s="981" t="s">
        <v>1595</v>
      </c>
      <c r="I110" s="995" t="s">
        <v>1268</v>
      </c>
      <c r="J110" s="1014" t="s">
        <v>1805</v>
      </c>
      <c r="K110" s="1029" t="s">
        <v>627</v>
      </c>
      <c r="M110" s="349" t="str">
        <f t="shared" si="7"/>
        <v>〇</v>
      </c>
      <c r="O110" s="156"/>
    </row>
    <row r="111" spans="1:21" ht="88.2" customHeight="1" thickBot="1">
      <c r="A111" s="328">
        <v>111</v>
      </c>
      <c r="C111" s="351"/>
      <c r="D111" s="351"/>
      <c r="E111" s="935"/>
      <c r="F111" s="936" t="s">
        <v>1450</v>
      </c>
      <c r="G111" s="937"/>
      <c r="H111" s="938" t="s">
        <v>1596</v>
      </c>
      <c r="I111" s="997" t="s">
        <v>1289</v>
      </c>
      <c r="J111" s="1014" t="s">
        <v>1805</v>
      </c>
      <c r="K111" s="1030" t="s">
        <v>1602</v>
      </c>
      <c r="M111" s="349" t="str">
        <f>IF(AND(I111="B",J111=""),"未入力あり",IF(AND(I111="B",J111&lt;&gt;""),"〇",IF(I111="-","")))</f>
        <v>〇</v>
      </c>
      <c r="O111" s="156"/>
    </row>
    <row r="112" spans="1:21" ht="13.8" thickBot="1">
      <c r="A112" s="328">
        <v>112</v>
      </c>
      <c r="C112" s="351"/>
      <c r="D112" s="351"/>
      <c r="E112" s="935"/>
      <c r="F112" s="935"/>
      <c r="G112" s="957"/>
      <c r="H112" s="985" t="s">
        <v>628</v>
      </c>
      <c r="I112" s="1031" t="s">
        <v>1263</v>
      </c>
      <c r="J112" s="1014" t="s">
        <v>1804</v>
      </c>
      <c r="K112" s="1032" t="s">
        <v>629</v>
      </c>
      <c r="M112" s="349" t="str">
        <f t="shared" si="7"/>
        <v>〇</v>
      </c>
      <c r="O112" s="156"/>
    </row>
    <row r="113" spans="1:21" ht="27" thickBot="1">
      <c r="A113" s="328">
        <v>113</v>
      </c>
      <c r="C113" s="351"/>
      <c r="D113" s="351"/>
      <c r="E113" s="935"/>
      <c r="F113" s="939"/>
      <c r="G113" s="948"/>
      <c r="H113" s="960" t="s">
        <v>1597</v>
      </c>
      <c r="I113" s="1033" t="s">
        <v>568</v>
      </c>
      <c r="J113" s="1034">
        <v>0</v>
      </c>
      <c r="K113" s="1035"/>
      <c r="M113" s="349" t="str">
        <f>IF(ISBLANK(J113),"未入力あり","〇")</f>
        <v>〇</v>
      </c>
      <c r="O113" s="156"/>
      <c r="T113" s="372"/>
      <c r="U113" s="373"/>
    </row>
    <row r="114" spans="1:21" ht="13.8" thickBot="1">
      <c r="A114" s="328">
        <v>114</v>
      </c>
      <c r="C114" s="351"/>
      <c r="D114" s="351"/>
      <c r="E114" s="935"/>
      <c r="F114" s="936" t="s">
        <v>1451</v>
      </c>
      <c r="G114" s="937"/>
      <c r="H114" s="942" t="s">
        <v>630</v>
      </c>
      <c r="I114" s="1036" t="s">
        <v>1268</v>
      </c>
      <c r="J114" s="1014" t="s">
        <v>1805</v>
      </c>
      <c r="K114" s="1016"/>
      <c r="M114" s="349" t="str">
        <f t="shared" si="7"/>
        <v>〇</v>
      </c>
      <c r="O114" s="156"/>
    </row>
    <row r="115" spans="1:21" ht="13.8" thickBot="1">
      <c r="A115" s="328">
        <v>115</v>
      </c>
      <c r="C115" s="351"/>
      <c r="D115" s="351"/>
      <c r="E115" s="935"/>
      <c r="F115" s="935"/>
      <c r="G115" s="986"/>
      <c r="H115" s="941" t="s">
        <v>631</v>
      </c>
      <c r="I115" s="995" t="s">
        <v>1268</v>
      </c>
      <c r="J115" s="1014" t="s">
        <v>1805</v>
      </c>
      <c r="K115" s="1026"/>
      <c r="M115" s="349" t="str">
        <f t="shared" si="7"/>
        <v>〇</v>
      </c>
      <c r="O115" s="156"/>
    </row>
    <row r="116" spans="1:21" ht="13.8" thickBot="1">
      <c r="A116" s="328">
        <v>116</v>
      </c>
      <c r="C116" s="351"/>
      <c r="D116" s="351"/>
      <c r="E116" s="935"/>
      <c r="F116" s="935"/>
      <c r="G116" s="986"/>
      <c r="H116" s="987" t="s">
        <v>632</v>
      </c>
      <c r="I116" s="1022" t="s">
        <v>565</v>
      </c>
      <c r="J116" s="1014" t="s">
        <v>1804</v>
      </c>
      <c r="K116" s="1023" t="s">
        <v>633</v>
      </c>
      <c r="M116" s="349" t="str">
        <f>IF(ISBLANK(J116),"未入力あり","〇")</f>
        <v>〇</v>
      </c>
      <c r="O116" s="156"/>
    </row>
    <row r="117" spans="1:21" ht="78" customHeight="1" thickBot="1">
      <c r="A117" s="328">
        <v>117</v>
      </c>
      <c r="C117" s="351"/>
      <c r="D117" s="364"/>
      <c r="E117" s="939"/>
      <c r="F117" s="969" t="s">
        <v>1452</v>
      </c>
      <c r="G117" s="950"/>
      <c r="H117" s="951" t="s">
        <v>634</v>
      </c>
      <c r="I117" s="1002" t="s">
        <v>1268</v>
      </c>
      <c r="J117" s="1014" t="s">
        <v>1805</v>
      </c>
      <c r="K117" s="1015" t="s">
        <v>1453</v>
      </c>
      <c r="M117" s="349" t="str">
        <f t="shared" si="7"/>
        <v>〇</v>
      </c>
      <c r="O117" s="156"/>
    </row>
    <row r="118" spans="1:21" ht="13.8"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11" t="s">
        <v>1563</v>
      </c>
      <c r="F119" s="1312"/>
      <c r="G119" s="1312"/>
      <c r="H119" s="1313"/>
      <c r="I119" s="1037"/>
      <c r="J119" s="1156"/>
      <c r="K119" s="1038"/>
      <c r="O119" s="156"/>
    </row>
    <row r="120" spans="1:21" ht="13.8" thickBot="1">
      <c r="A120" s="328">
        <v>120</v>
      </c>
      <c r="C120" s="351"/>
      <c r="D120" s="351"/>
      <c r="E120" s="931" t="s">
        <v>446</v>
      </c>
      <c r="F120" s="932" t="s">
        <v>1603</v>
      </c>
      <c r="G120" s="933"/>
      <c r="H120" s="934"/>
      <c r="I120" s="1008"/>
      <c r="J120" s="1154"/>
      <c r="K120" s="1027"/>
      <c r="O120" s="156"/>
    </row>
    <row r="121" spans="1:21" ht="74.25" customHeight="1" thickBot="1">
      <c r="A121" s="328">
        <v>121</v>
      </c>
      <c r="C121" s="351"/>
      <c r="D121" s="351"/>
      <c r="E121" s="935"/>
      <c r="F121" s="936" t="s">
        <v>1446</v>
      </c>
      <c r="G121" s="937"/>
      <c r="H121" s="938" t="s">
        <v>637</v>
      </c>
      <c r="I121" s="997" t="s">
        <v>1262</v>
      </c>
      <c r="J121" s="1034">
        <v>51</v>
      </c>
      <c r="K121" s="1030" t="s">
        <v>638</v>
      </c>
      <c r="M121" s="349" t="str">
        <f t="shared" ref="M121:M126" si="8">+IF(I121="A",IF(ISBLANK(J121),"未入力あり",IF(J121&gt;=1,"○","×")),"")</f>
        <v>○</v>
      </c>
      <c r="O121" s="156"/>
      <c r="T121" s="372"/>
      <c r="U121" s="372"/>
    </row>
    <row r="122" spans="1:21" ht="67.95" customHeight="1" thickBot="1">
      <c r="A122" s="328">
        <v>122</v>
      </c>
      <c r="C122" s="916"/>
      <c r="D122" s="916"/>
      <c r="E122" s="1092"/>
      <c r="F122" s="1092"/>
      <c r="G122" s="986"/>
      <c r="H122" s="983" t="s">
        <v>1759</v>
      </c>
      <c r="I122" s="997" t="s">
        <v>1316</v>
      </c>
      <c r="J122" s="1034">
        <v>2</v>
      </c>
      <c r="K122" s="1030" t="s">
        <v>1770</v>
      </c>
      <c r="M122" s="349" t="str">
        <f t="shared" si="8"/>
        <v>○</v>
      </c>
      <c r="O122" s="156"/>
      <c r="T122" s="372"/>
      <c r="U122" s="372"/>
    </row>
    <row r="123" spans="1:21" ht="22.2" customHeight="1" thickBot="1">
      <c r="A123" s="328">
        <v>123</v>
      </c>
      <c r="C123" s="916"/>
      <c r="D123" s="916"/>
      <c r="E123" s="1092"/>
      <c r="F123" s="1092"/>
      <c r="G123" s="986"/>
      <c r="H123" s="983" t="s">
        <v>1760</v>
      </c>
      <c r="I123" s="997" t="s">
        <v>1316</v>
      </c>
      <c r="J123" s="1034">
        <v>14</v>
      </c>
      <c r="K123" s="1030"/>
      <c r="M123" s="349" t="str">
        <f t="shared" si="8"/>
        <v>○</v>
      </c>
      <c r="O123" s="156"/>
      <c r="T123" s="372"/>
      <c r="U123" s="372"/>
    </row>
    <row r="124" spans="1:21" ht="22.2" customHeight="1" thickBot="1">
      <c r="A124" s="328">
        <v>124</v>
      </c>
      <c r="C124" s="916"/>
      <c r="D124" s="916"/>
      <c r="E124" s="1092"/>
      <c r="F124" s="1092"/>
      <c r="G124" s="986"/>
      <c r="H124" s="983" t="s">
        <v>1761</v>
      </c>
      <c r="I124" s="997" t="s">
        <v>1316</v>
      </c>
      <c r="J124" s="1034">
        <v>14</v>
      </c>
      <c r="K124" s="1030"/>
      <c r="M124" s="349" t="str">
        <f t="shared" si="8"/>
        <v>○</v>
      </c>
      <c r="O124" s="156"/>
      <c r="T124" s="372"/>
      <c r="U124" s="372"/>
    </row>
    <row r="125" spans="1:21" ht="22.2" customHeight="1" thickBot="1">
      <c r="A125" s="328">
        <v>125</v>
      </c>
      <c r="C125" s="916"/>
      <c r="D125" s="916"/>
      <c r="E125" s="1092"/>
      <c r="F125" s="1092"/>
      <c r="G125" s="986"/>
      <c r="H125" s="983" t="s">
        <v>1762</v>
      </c>
      <c r="I125" s="997" t="s">
        <v>1316</v>
      </c>
      <c r="J125" s="1034">
        <v>14</v>
      </c>
      <c r="K125" s="1030"/>
      <c r="M125" s="349" t="str">
        <f t="shared" si="8"/>
        <v>○</v>
      </c>
      <c r="O125" s="156"/>
      <c r="T125" s="372"/>
      <c r="U125" s="372"/>
    </row>
    <row r="126" spans="1:21" ht="22.2" customHeight="1" thickBot="1">
      <c r="A126" s="328">
        <v>126</v>
      </c>
      <c r="C126" s="916"/>
      <c r="D126" s="916"/>
      <c r="E126" s="1092"/>
      <c r="F126" s="1092"/>
      <c r="G126" s="957"/>
      <c r="H126" s="1041" t="s">
        <v>1763</v>
      </c>
      <c r="I126" s="997" t="s">
        <v>1316</v>
      </c>
      <c r="J126" s="1034">
        <v>1</v>
      </c>
      <c r="K126" s="1030"/>
      <c r="M126" s="349" t="str">
        <f t="shared" si="8"/>
        <v>○</v>
      </c>
      <c r="O126" s="156"/>
      <c r="T126" s="372"/>
      <c r="U126" s="372"/>
    </row>
    <row r="127" spans="1:21" ht="27" customHeight="1" thickBot="1">
      <c r="A127" s="328">
        <v>127</v>
      </c>
      <c r="C127" s="351"/>
      <c r="D127" s="351"/>
      <c r="E127" s="935"/>
      <c r="F127" s="936" t="s">
        <v>1454</v>
      </c>
      <c r="G127" s="937"/>
      <c r="H127" s="938" t="s">
        <v>1290</v>
      </c>
      <c r="I127" s="997" t="s">
        <v>1262</v>
      </c>
      <c r="J127" s="1014" t="s">
        <v>1805</v>
      </c>
      <c r="K127" s="1030"/>
      <c r="M127" s="349" t="str">
        <f t="shared" ref="M127" si="9">+IF(I127="A",IF(ISBLANK(J127),"未入力あり",IF(J127="はい","○","×")),"")</f>
        <v>○</v>
      </c>
      <c r="O127" s="156"/>
      <c r="T127" s="372"/>
      <c r="U127" s="372"/>
    </row>
    <row r="128" spans="1:21" ht="13.8" thickBot="1">
      <c r="A128" s="328">
        <v>128</v>
      </c>
      <c r="C128" s="351"/>
      <c r="D128" s="351"/>
      <c r="E128" s="935"/>
      <c r="F128" s="935"/>
      <c r="G128" s="957"/>
      <c r="H128" s="974" t="s">
        <v>1291</v>
      </c>
      <c r="I128" s="1039" t="s">
        <v>1287</v>
      </c>
      <c r="J128" s="1014" t="s">
        <v>1804</v>
      </c>
      <c r="K128" s="1030"/>
      <c r="M128" s="349" t="str">
        <f>IF(ISBLANK(J128),"未入力あり","〇")</f>
        <v>〇</v>
      </c>
      <c r="O128" s="156"/>
      <c r="T128" s="372"/>
      <c r="U128" s="372"/>
    </row>
    <row r="129" spans="1:21" ht="13.8" thickBot="1">
      <c r="A129" s="328">
        <v>129</v>
      </c>
      <c r="C129" s="351"/>
      <c r="D129" s="351"/>
      <c r="E129" s="935"/>
      <c r="F129" s="935"/>
      <c r="G129" s="957"/>
      <c r="H129" s="985" t="s">
        <v>1292</v>
      </c>
      <c r="I129" s="1002" t="str">
        <f>IF(J128="いいえ","A",IF(J128="はい","-","A／-"))</f>
        <v>A</v>
      </c>
      <c r="J129" s="1034">
        <v>1</v>
      </c>
      <c r="K129" s="1040" t="s">
        <v>1512</v>
      </c>
      <c r="L129" s="873"/>
      <c r="M129" s="872" t="str">
        <f>+IF(I129="A",IF(ISBLANK(J129),"未入力あり",IF(J129&gt;=1,"○","×")),"")</f>
        <v>○</v>
      </c>
      <c r="O129" s="156"/>
      <c r="T129" s="372"/>
      <c r="U129" s="372"/>
    </row>
    <row r="130" spans="1:21" ht="13.8" thickBot="1">
      <c r="A130" s="328">
        <v>130</v>
      </c>
      <c r="C130" s="351"/>
      <c r="D130" s="351"/>
      <c r="E130" s="935"/>
      <c r="F130" s="935"/>
      <c r="G130" s="957"/>
      <c r="H130" s="1041" t="s">
        <v>1293</v>
      </c>
      <c r="I130" s="1002" t="str">
        <f>IF(J128="いいえ","C",IF(J128="はい","-","C／-"))</f>
        <v>C</v>
      </c>
      <c r="J130" s="1034">
        <v>1</v>
      </c>
      <c r="K130" s="1040"/>
      <c r="L130" s="873"/>
      <c r="M130" s="349" t="str">
        <f t="shared" ref="M130" si="10">IF(ISBLANK(J130),"未入力あり","〇")</f>
        <v>〇</v>
      </c>
      <c r="O130" s="156"/>
      <c r="T130" s="372"/>
      <c r="U130" s="372"/>
    </row>
    <row r="131" spans="1:21" ht="92.4" customHeight="1" thickBot="1">
      <c r="A131" s="328">
        <v>131</v>
      </c>
      <c r="C131" s="351"/>
      <c r="D131" s="351"/>
      <c r="E131" s="935"/>
      <c r="F131" s="969" t="s">
        <v>1273</v>
      </c>
      <c r="G131" s="950"/>
      <c r="H131" s="951" t="s">
        <v>1604</v>
      </c>
      <c r="I131" s="996" t="s">
        <v>1262</v>
      </c>
      <c r="J131" s="1034">
        <v>1</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1605</v>
      </c>
      <c r="I132" s="997" t="s">
        <v>1262</v>
      </c>
      <c r="J132" s="917">
        <v>2</v>
      </c>
      <c r="K132" s="1030" t="s">
        <v>1606</v>
      </c>
      <c r="M132" s="349" t="str">
        <f>+IF(I132="A",IF(ISBLANK(J132),"未入力あり",IF(J132&gt;=1,"○","×")),"")</f>
        <v>○</v>
      </c>
      <c r="O132" s="156"/>
      <c r="T132" s="372"/>
      <c r="U132" s="372"/>
    </row>
    <row r="133" spans="1:21" ht="13.8" thickBot="1">
      <c r="A133" s="328">
        <v>133</v>
      </c>
      <c r="C133" s="351"/>
      <c r="D133" s="351"/>
      <c r="E133" s="351"/>
      <c r="F133" s="351"/>
      <c r="H133" s="964" t="s">
        <v>1647</v>
      </c>
      <c r="I133" s="382" t="s">
        <v>1263</v>
      </c>
      <c r="J133" s="327">
        <v>0</v>
      </c>
      <c r="K133" s="380"/>
      <c r="M133" s="349" t="str">
        <f t="shared" ref="M133:M134" si="11">IF(ISBLANK(J133),"未入力あり","〇")</f>
        <v>〇</v>
      </c>
      <c r="O133" s="156"/>
      <c r="T133" s="372"/>
      <c r="U133" s="372"/>
    </row>
    <row r="134" spans="1:21" ht="27" thickBot="1">
      <c r="A134" s="328">
        <v>134</v>
      </c>
      <c r="C134" s="351"/>
      <c r="D134" s="351"/>
      <c r="E134" s="351"/>
      <c r="F134" s="351"/>
      <c r="H134" s="987" t="s">
        <v>1455</v>
      </c>
      <c r="I134" s="398" t="s">
        <v>1263</v>
      </c>
      <c r="J134" s="327">
        <v>0</v>
      </c>
      <c r="K134" s="384"/>
      <c r="M134" s="349" t="str">
        <f t="shared" si="11"/>
        <v>〇</v>
      </c>
      <c r="O134" s="156"/>
      <c r="T134" s="372"/>
      <c r="U134" s="372"/>
    </row>
    <row r="135" spans="1:21" ht="13.8" thickBot="1">
      <c r="A135" s="328">
        <v>135</v>
      </c>
      <c r="C135" s="351"/>
      <c r="D135" s="351"/>
      <c r="E135" s="351"/>
      <c r="F135" s="351"/>
      <c r="H135" s="985" t="s">
        <v>748</v>
      </c>
      <c r="I135" s="403" t="s">
        <v>1262</v>
      </c>
      <c r="J135" s="327">
        <v>2</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1805</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1805</v>
      </c>
      <c r="K137" s="1012" t="s">
        <v>1456</v>
      </c>
      <c r="M137" s="349" t="str">
        <f t="shared" ref="M137" si="13">+IF(I137="A",IF(ISBLANK(J137),"未入力あり",IF(J137&gt;=1,"○","×")),"")</f>
        <v>○</v>
      </c>
      <c r="O137" s="156"/>
      <c r="T137" s="372"/>
      <c r="U137" s="372"/>
    </row>
    <row r="138" spans="1:21" ht="13.8" thickBot="1">
      <c r="A138" s="328">
        <v>138</v>
      </c>
      <c r="C138" s="351"/>
      <c r="D138" s="351"/>
      <c r="E138" s="935"/>
      <c r="F138" s="935"/>
      <c r="G138" s="986"/>
      <c r="H138" s="974" t="s">
        <v>1296</v>
      </c>
      <c r="I138" s="1022" t="s">
        <v>1298</v>
      </c>
      <c r="J138" s="1014" t="s">
        <v>1804</v>
      </c>
      <c r="K138" s="1012"/>
      <c r="M138" s="349" t="str">
        <f t="shared" ref="M138:M140" si="14">IF(ISBLANK(J138),"未入力あり","〇")</f>
        <v>〇</v>
      </c>
      <c r="O138" s="156"/>
      <c r="T138" s="372"/>
      <c r="U138" s="372"/>
    </row>
    <row r="139" spans="1:21" ht="13.8" thickBot="1">
      <c r="A139" s="328">
        <v>139</v>
      </c>
      <c r="C139" s="351"/>
      <c r="D139" s="351"/>
      <c r="E139" s="935"/>
      <c r="F139" s="939"/>
      <c r="G139" s="948"/>
      <c r="H139" s="941" t="s">
        <v>1297</v>
      </c>
      <c r="I139" s="995" t="str">
        <f>IF(J138="いいえ","A",IF(J138="はい","-","A／-"))</f>
        <v>A</v>
      </c>
      <c r="J139" s="1034">
        <v>1</v>
      </c>
      <c r="K139" s="1012" t="s">
        <v>1457</v>
      </c>
      <c r="M139" s="872" t="str">
        <f>+IF(I139="A",IF(ISBLANK(J139),"未入力あり",IF(J139&gt;=1,"○","×")),"")</f>
        <v>○</v>
      </c>
      <c r="O139" s="156"/>
      <c r="T139" s="372"/>
      <c r="U139" s="372"/>
    </row>
    <row r="140" spans="1:21" ht="13.8" thickBot="1">
      <c r="A140" s="328">
        <v>140</v>
      </c>
      <c r="C140" s="351"/>
      <c r="D140" s="351"/>
      <c r="E140" s="935"/>
      <c r="F140" s="939" t="s">
        <v>1276</v>
      </c>
      <c r="G140" s="940"/>
      <c r="H140" s="970" t="s">
        <v>640</v>
      </c>
      <c r="I140" s="1007" t="s">
        <v>1263</v>
      </c>
      <c r="J140" s="1034">
        <v>1</v>
      </c>
      <c r="K140" s="1012"/>
      <c r="M140" s="349" t="str">
        <f t="shared" si="14"/>
        <v>〇</v>
      </c>
      <c r="O140" s="156"/>
      <c r="T140" s="372"/>
      <c r="U140" s="373"/>
    </row>
    <row r="141" spans="1:21" ht="13.8" thickBot="1">
      <c r="A141" s="328">
        <v>141</v>
      </c>
      <c r="C141" s="351"/>
      <c r="D141" s="351"/>
      <c r="E141" s="931" t="s">
        <v>1270</v>
      </c>
      <c r="F141" s="932" t="s">
        <v>1513</v>
      </c>
      <c r="G141" s="933"/>
      <c r="H141" s="934"/>
      <c r="I141" s="1043"/>
      <c r="J141" s="1157"/>
      <c r="K141" s="1027"/>
      <c r="O141" s="156"/>
    </row>
    <row r="142" spans="1:21" ht="13.8" thickBot="1">
      <c r="A142" s="328">
        <v>142</v>
      </c>
      <c r="C142" s="916"/>
      <c r="D142" s="916"/>
      <c r="E142" s="1050"/>
      <c r="F142" s="1044" t="s">
        <v>1562</v>
      </c>
      <c r="G142" s="1045"/>
      <c r="H142" s="1046"/>
      <c r="I142" s="1047"/>
      <c r="J142" s="1158"/>
      <c r="K142" s="1048"/>
      <c r="O142" s="156"/>
    </row>
    <row r="143" spans="1:21" ht="13.8" thickBot="1">
      <c r="A143" s="328">
        <v>143</v>
      </c>
      <c r="C143" s="351"/>
      <c r="D143" s="351"/>
      <c r="E143" s="935"/>
      <c r="F143" s="936" t="s">
        <v>1446</v>
      </c>
      <c r="G143" s="937"/>
      <c r="H143" s="942" t="s">
        <v>1299</v>
      </c>
      <c r="I143" s="1036" t="str">
        <f>IF(J29="はい","A",IF(J29="いいえ","-","A／-"))</f>
        <v>A</v>
      </c>
      <c r="J143" s="1034">
        <v>6</v>
      </c>
      <c r="K143" s="1016" t="s">
        <v>1460</v>
      </c>
      <c r="M143" s="872" t="str">
        <f>+IF(I143="A",IF(ISBLANK(J143),"未入力あり",IF(J143&gt;=1,"○","×")),"")</f>
        <v>○</v>
      </c>
      <c r="O143" s="156"/>
      <c r="T143" s="372"/>
      <c r="U143" s="372"/>
    </row>
    <row r="144" spans="1:21" ht="13.8" thickBot="1">
      <c r="A144" s="328">
        <v>144</v>
      </c>
      <c r="C144" s="351"/>
      <c r="D144" s="351"/>
      <c r="E144" s="935"/>
      <c r="F144" s="935"/>
      <c r="G144" s="957"/>
      <c r="H144" s="982" t="s">
        <v>1300</v>
      </c>
      <c r="I144" s="1049" t="str">
        <f>IF(J29="はい","C",IF(J29="いいえ","-","C／-"))</f>
        <v>C</v>
      </c>
      <c r="J144" s="1014" t="s">
        <v>1805</v>
      </c>
      <c r="K144" s="1026"/>
      <c r="M144" s="349" t="str">
        <f t="shared" ref="M144:M167" si="15">IF(ISBLANK(J144),"未入力あり","〇")</f>
        <v>〇</v>
      </c>
      <c r="O144" s="156"/>
      <c r="T144" s="372"/>
      <c r="U144" s="372"/>
    </row>
    <row r="145" spans="1:21" ht="13.8" thickBot="1">
      <c r="A145" s="328">
        <v>145</v>
      </c>
      <c r="C145" s="351"/>
      <c r="D145" s="351"/>
      <c r="E145" s="935"/>
      <c r="F145" s="935"/>
      <c r="G145" s="957"/>
      <c r="H145" s="983" t="s">
        <v>1301</v>
      </c>
      <c r="I145" s="1024" t="s">
        <v>565</v>
      </c>
      <c r="J145" s="1034">
        <v>3</v>
      </c>
      <c r="K145" s="1023"/>
      <c r="M145" s="349" t="str">
        <f t="shared" si="15"/>
        <v>〇</v>
      </c>
      <c r="O145" s="156"/>
      <c r="T145" s="372"/>
      <c r="U145" s="372"/>
    </row>
    <row r="146" spans="1:21" ht="26.25" customHeight="1" thickBot="1">
      <c r="A146" s="328">
        <v>146</v>
      </c>
      <c r="C146" s="351"/>
      <c r="D146" s="351"/>
      <c r="E146" s="935"/>
      <c r="F146" s="935"/>
      <c r="G146" s="957"/>
      <c r="H146" s="983" t="s">
        <v>1465</v>
      </c>
      <c r="I146" s="1007" t="s">
        <v>565</v>
      </c>
      <c r="J146" s="100">
        <v>2</v>
      </c>
      <c r="K146" s="1023"/>
      <c r="M146" s="349" t="str">
        <f t="shared" si="15"/>
        <v>〇</v>
      </c>
      <c r="O146" s="156"/>
      <c r="T146" s="372"/>
      <c r="U146" s="372"/>
    </row>
    <row r="147" spans="1:21" ht="13.8" thickBot="1">
      <c r="A147" s="328">
        <v>147</v>
      </c>
      <c r="C147" s="351"/>
      <c r="D147" s="351"/>
      <c r="E147" s="935"/>
      <c r="F147" s="935"/>
      <c r="G147" s="957"/>
      <c r="H147" s="974" t="s">
        <v>1304</v>
      </c>
      <c r="I147" s="994" t="str">
        <f>IF(J29="はい","A",IF(J29="いいえ","-","A／-"))</f>
        <v>A</v>
      </c>
      <c r="J147" s="1034">
        <v>1</v>
      </c>
      <c r="K147" s="1016" t="s">
        <v>1607</v>
      </c>
      <c r="M147" s="872" t="str">
        <f>+IF(I147="A",IF(ISBLANK(J147),"未入力あり",IF(J147&gt;=1,"○","×")),"")</f>
        <v>○</v>
      </c>
      <c r="O147" s="156"/>
      <c r="T147" s="372"/>
      <c r="U147" s="372"/>
    </row>
    <row r="148" spans="1:21" ht="13.8" thickBot="1">
      <c r="A148" s="328">
        <v>148</v>
      </c>
      <c r="C148" s="351"/>
      <c r="D148" s="351"/>
      <c r="E148" s="935"/>
      <c r="F148" s="935"/>
      <c r="G148" s="957"/>
      <c r="H148" s="983" t="s">
        <v>1305</v>
      </c>
      <c r="I148" s="1022" t="s">
        <v>1303</v>
      </c>
      <c r="J148" s="1034">
        <v>1</v>
      </c>
      <c r="K148" s="1025"/>
      <c r="M148" s="349" t="str">
        <f t="shared" si="15"/>
        <v>〇</v>
      </c>
      <c r="O148" s="156"/>
      <c r="T148" s="372"/>
      <c r="U148" s="372"/>
    </row>
    <row r="149" spans="1:21" ht="13.8" thickBot="1">
      <c r="A149" s="328">
        <v>149</v>
      </c>
      <c r="C149" s="351"/>
      <c r="D149" s="351"/>
      <c r="E149" s="935"/>
      <c r="F149" s="935"/>
      <c r="G149" s="957"/>
      <c r="H149" s="982" t="s">
        <v>1306</v>
      </c>
      <c r="I149" s="994" t="str">
        <f>IF(J29="はい","C",IF(J29="いいえ","-","C／-"))</f>
        <v>C</v>
      </c>
      <c r="J149" s="1014" t="s">
        <v>1804</v>
      </c>
      <c r="K149" s="1025"/>
      <c r="M149" s="349" t="str">
        <f t="shared" si="15"/>
        <v>〇</v>
      </c>
      <c r="O149" s="156"/>
      <c r="T149" s="372"/>
      <c r="U149" s="372"/>
    </row>
    <row r="150" spans="1:21" ht="13.8"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1465</v>
      </c>
      <c r="I151" s="995" t="s">
        <v>1303</v>
      </c>
      <c r="J151" s="100" t="s">
        <v>1179</v>
      </c>
      <c r="K151" s="1025"/>
      <c r="M151" s="349" t="str">
        <f t="shared" si="15"/>
        <v>〇</v>
      </c>
      <c r="O151" s="156"/>
      <c r="T151" s="372"/>
      <c r="U151" s="372"/>
    </row>
    <row r="152" spans="1:21" ht="13.8" thickBot="1">
      <c r="A152" s="328">
        <v>152</v>
      </c>
      <c r="C152" s="351"/>
      <c r="D152" s="351"/>
      <c r="E152" s="935"/>
      <c r="F152" s="935"/>
      <c r="G152" s="957"/>
      <c r="H152" s="974" t="s">
        <v>1608</v>
      </c>
      <c r="I152" s="994" t="str">
        <f>IF(J29="はい","C",IF(J29="いいえ","-","C／-"))</f>
        <v>C</v>
      </c>
      <c r="J152" s="1034">
        <v>1</v>
      </c>
      <c r="K152" s="1025"/>
      <c r="M152" s="349" t="str">
        <f t="shared" si="15"/>
        <v>〇</v>
      </c>
      <c r="O152" s="156"/>
      <c r="T152" s="372"/>
      <c r="U152" s="372"/>
    </row>
    <row r="153" spans="1:21" ht="13.8" thickBot="1">
      <c r="A153" s="328">
        <v>153</v>
      </c>
      <c r="C153" s="351"/>
      <c r="D153" s="351"/>
      <c r="E153" s="935"/>
      <c r="F153" s="935"/>
      <c r="G153" s="957"/>
      <c r="H153" s="983" t="s">
        <v>1308</v>
      </c>
      <c r="I153" s="1009" t="s">
        <v>1303</v>
      </c>
      <c r="J153" s="1034">
        <v>1</v>
      </c>
      <c r="K153" s="1025"/>
      <c r="M153" s="349" t="str">
        <f t="shared" si="15"/>
        <v>〇</v>
      </c>
      <c r="O153" s="156"/>
      <c r="T153" s="372"/>
      <c r="U153" s="372"/>
    </row>
    <row r="154" spans="1:21" ht="13.8" thickBot="1">
      <c r="A154" s="328">
        <v>154</v>
      </c>
      <c r="C154" s="351"/>
      <c r="D154" s="351"/>
      <c r="E154" s="935"/>
      <c r="F154" s="935"/>
      <c r="G154" s="957"/>
      <c r="H154" s="982" t="s">
        <v>1309</v>
      </c>
      <c r="I154" s="994" t="str">
        <f>IF(J29="はい","C",IF(J29="いいえ","-","C／-"))</f>
        <v>C</v>
      </c>
      <c r="J154" s="1034">
        <v>0</v>
      </c>
      <c r="K154" s="1025"/>
      <c r="M154" s="349" t="str">
        <f t="shared" si="15"/>
        <v>〇</v>
      </c>
      <c r="O154" s="156"/>
      <c r="T154" s="372"/>
      <c r="U154" s="372"/>
    </row>
    <row r="155" spans="1:21" ht="13.8"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1465</v>
      </c>
      <c r="I156" s="1022" t="s">
        <v>1303</v>
      </c>
      <c r="J156" s="100" t="s">
        <v>1179</v>
      </c>
      <c r="K156" s="1025"/>
      <c r="M156" s="349" t="str">
        <f t="shared" si="15"/>
        <v>〇</v>
      </c>
      <c r="O156" s="156"/>
      <c r="T156" s="372"/>
      <c r="U156" s="372"/>
    </row>
    <row r="157" spans="1:21" ht="13.8" thickBot="1">
      <c r="A157" s="328">
        <v>157</v>
      </c>
      <c r="C157" s="351"/>
      <c r="D157" s="351"/>
      <c r="E157" s="935"/>
      <c r="F157" s="1052" t="s">
        <v>1454</v>
      </c>
      <c r="G157" s="961"/>
      <c r="H157" s="1053" t="s">
        <v>642</v>
      </c>
      <c r="I157" s="994" t="s">
        <v>1262</v>
      </c>
      <c r="J157" s="1034">
        <v>3</v>
      </c>
      <c r="K157" s="1025" t="s">
        <v>641</v>
      </c>
      <c r="M157" s="349" t="str">
        <f t="shared" ref="M157:M168" si="16">+IF(I157="A",IF(ISBLANK(J157),"未入力あり",IF(J157&gt;=1,"○","×")),"")</f>
        <v>○</v>
      </c>
      <c r="O157" s="156"/>
      <c r="T157" s="372"/>
      <c r="U157" s="372"/>
    </row>
    <row r="158" spans="1:21" ht="13.8" thickBot="1">
      <c r="A158" s="328">
        <v>158</v>
      </c>
      <c r="C158" s="351"/>
      <c r="D158" s="351"/>
      <c r="E158" s="935"/>
      <c r="F158" s="935"/>
      <c r="G158" s="957"/>
      <c r="H158" s="1054" t="s">
        <v>1308</v>
      </c>
      <c r="I158" s="1024" t="s">
        <v>1303</v>
      </c>
      <c r="J158" s="1034">
        <v>3</v>
      </c>
      <c r="K158" s="1025"/>
      <c r="M158" s="349" t="str">
        <f t="shared" si="15"/>
        <v>〇</v>
      </c>
      <c r="O158" s="156"/>
      <c r="T158" s="372"/>
      <c r="U158" s="372"/>
    </row>
    <row r="159" spans="1:21" ht="13.8" thickBot="1">
      <c r="A159" s="328">
        <v>159</v>
      </c>
      <c r="C159" s="351"/>
      <c r="D159" s="351"/>
      <c r="E159" s="935"/>
      <c r="F159" s="935"/>
      <c r="G159" s="957"/>
      <c r="H159" s="982" t="s">
        <v>1314</v>
      </c>
      <c r="I159" s="1024" t="s">
        <v>1313</v>
      </c>
      <c r="J159" s="1014" t="s">
        <v>1805</v>
      </c>
      <c r="K159" s="1025"/>
      <c r="M159" s="349" t="str">
        <f t="shared" si="15"/>
        <v>〇</v>
      </c>
      <c r="O159" s="156"/>
      <c r="T159" s="372"/>
      <c r="U159" s="372"/>
    </row>
    <row r="160" spans="1:21" ht="13.8"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3.8" thickBot="1">
      <c r="A161" s="328">
        <v>161</v>
      </c>
      <c r="C161" s="351"/>
      <c r="D161" s="351"/>
      <c r="E161" s="935"/>
      <c r="F161" s="935"/>
      <c r="G161" s="957"/>
      <c r="H161" s="983" t="s">
        <v>1323</v>
      </c>
      <c r="I161" s="1024" t="s">
        <v>1303</v>
      </c>
      <c r="J161" s="1034">
        <v>3</v>
      </c>
      <c r="K161" s="1025"/>
      <c r="M161" s="349" t="str">
        <f t="shared" si="15"/>
        <v>〇</v>
      </c>
      <c r="O161" s="156"/>
      <c r="T161" s="372"/>
      <c r="U161" s="372"/>
    </row>
    <row r="162" spans="1:21" ht="13.8" thickBot="1">
      <c r="A162" s="328">
        <v>162</v>
      </c>
      <c r="C162" s="351"/>
      <c r="D162" s="351"/>
      <c r="E162" s="935"/>
      <c r="F162" s="935"/>
      <c r="G162" s="957"/>
      <c r="H162" s="1054" t="s">
        <v>1465</v>
      </c>
      <c r="I162" s="1022" t="s">
        <v>1303</v>
      </c>
      <c r="J162" s="100" t="s">
        <v>1845</v>
      </c>
      <c r="K162" s="1025"/>
      <c r="M162" s="349" t="str">
        <f t="shared" si="15"/>
        <v>〇</v>
      </c>
      <c r="O162" s="156"/>
      <c r="T162" s="372"/>
      <c r="U162" s="372"/>
    </row>
    <row r="163" spans="1:21" ht="13.8" thickBot="1">
      <c r="A163" s="328">
        <v>163</v>
      </c>
      <c r="C163" s="351"/>
      <c r="D163" s="351"/>
      <c r="E163" s="935"/>
      <c r="F163" s="935"/>
      <c r="G163" s="957"/>
      <c r="H163" s="942" t="s">
        <v>643</v>
      </c>
      <c r="I163" s="994" t="s">
        <v>1262</v>
      </c>
      <c r="J163" s="1034">
        <v>2</v>
      </c>
      <c r="K163" s="1025" t="s">
        <v>641</v>
      </c>
      <c r="M163" s="349" t="str">
        <f>+IF(I163="A",IF(ISBLANK(J163),"未入力あり",IF(J163&gt;=1,"○","×")),"")</f>
        <v>○</v>
      </c>
      <c r="O163" s="156"/>
      <c r="T163" s="372"/>
      <c r="U163" s="372"/>
    </row>
    <row r="164" spans="1:21" ht="13.8" thickBot="1">
      <c r="A164" s="328">
        <v>164</v>
      </c>
      <c r="C164" s="351"/>
      <c r="D164" s="351"/>
      <c r="E164" s="935"/>
      <c r="F164" s="935"/>
      <c r="G164" s="957"/>
      <c r="H164" s="974" t="s">
        <v>1310</v>
      </c>
      <c r="I164" s="1024" t="s">
        <v>1461</v>
      </c>
      <c r="J164" s="1014" t="s">
        <v>1804</v>
      </c>
      <c r="K164" s="1025"/>
      <c r="M164" s="349" t="str">
        <f t="shared" si="15"/>
        <v>〇</v>
      </c>
      <c r="O164" s="156"/>
      <c r="T164" s="372"/>
      <c r="U164" s="372"/>
    </row>
    <row r="165" spans="1:21" ht="13.8" thickBot="1">
      <c r="A165" s="328">
        <v>165</v>
      </c>
      <c r="C165" s="351"/>
      <c r="D165" s="351"/>
      <c r="E165" s="935"/>
      <c r="F165" s="935"/>
      <c r="G165" s="957"/>
      <c r="H165" s="983" t="s">
        <v>1311</v>
      </c>
      <c r="I165" s="1024" t="s">
        <v>1443</v>
      </c>
      <c r="J165" s="1034">
        <v>0</v>
      </c>
      <c r="K165" s="1025"/>
      <c r="M165" s="349" t="str">
        <f t="shared" si="15"/>
        <v>〇</v>
      </c>
      <c r="O165" s="156"/>
      <c r="T165" s="372"/>
      <c r="U165" s="372"/>
    </row>
    <row r="166" spans="1:21" ht="13.8" thickBot="1">
      <c r="A166" s="328">
        <v>166</v>
      </c>
      <c r="C166" s="351"/>
      <c r="D166" s="351"/>
      <c r="E166" s="935"/>
      <c r="F166" s="935"/>
      <c r="G166" s="957"/>
      <c r="H166" s="983" t="s">
        <v>1312</v>
      </c>
      <c r="I166" s="1024" t="s">
        <v>1443</v>
      </c>
      <c r="J166" s="1034">
        <v>0</v>
      </c>
      <c r="K166" s="1025"/>
      <c r="M166" s="349" t="str">
        <f t="shared" si="15"/>
        <v>〇</v>
      </c>
      <c r="O166" s="156"/>
      <c r="T166" s="372"/>
      <c r="U166" s="372"/>
    </row>
    <row r="167" spans="1:21" ht="13.8" thickBot="1">
      <c r="A167" s="328">
        <v>167</v>
      </c>
      <c r="C167" s="351"/>
      <c r="D167" s="351"/>
      <c r="E167" s="935"/>
      <c r="F167" s="935"/>
      <c r="G167" s="957"/>
      <c r="H167" s="1041" t="s">
        <v>1465</v>
      </c>
      <c r="I167" s="1009" t="s">
        <v>565</v>
      </c>
      <c r="J167" s="100" t="s">
        <v>1179</v>
      </c>
      <c r="K167" s="1029"/>
      <c r="M167" s="349" t="str">
        <f t="shared" si="15"/>
        <v>〇</v>
      </c>
      <c r="O167" s="156"/>
      <c r="T167" s="372"/>
      <c r="U167" s="372"/>
    </row>
    <row r="168" spans="1:21" ht="13.8" thickBot="1">
      <c r="A168" s="328">
        <v>168</v>
      </c>
      <c r="C168" s="351"/>
      <c r="D168" s="351"/>
      <c r="E168" s="935"/>
      <c r="F168" s="936" t="s">
        <v>1458</v>
      </c>
      <c r="G168" s="937"/>
      <c r="H168" s="942" t="s">
        <v>644</v>
      </c>
      <c r="I168" s="994" t="s">
        <v>1262</v>
      </c>
      <c r="J168" s="1034">
        <v>1</v>
      </c>
      <c r="K168" s="1030" t="s">
        <v>641</v>
      </c>
      <c r="M168" s="349" t="str">
        <f t="shared" si="16"/>
        <v>○</v>
      </c>
      <c r="O168" s="156"/>
      <c r="T168" s="372"/>
      <c r="U168" s="372"/>
    </row>
    <row r="169" spans="1:21" ht="13.8" thickBot="1">
      <c r="A169" s="328">
        <v>169</v>
      </c>
      <c r="C169" s="351"/>
      <c r="D169" s="351"/>
      <c r="E169" s="935"/>
      <c r="F169" s="935"/>
      <c r="G169" s="957"/>
      <c r="H169" s="974" t="s">
        <v>1315</v>
      </c>
      <c r="I169" s="1022" t="s">
        <v>1316</v>
      </c>
      <c r="J169" s="1034">
        <v>1</v>
      </c>
      <c r="K169" s="1025" t="s">
        <v>641</v>
      </c>
      <c r="M169" s="349" t="str">
        <f>+IF(I169="A",IF(ISBLANK(J169),"未入力あり",IF(J169&gt;=1,"○","×")),"")</f>
        <v>○</v>
      </c>
      <c r="O169" s="156"/>
      <c r="T169" s="372"/>
      <c r="U169" s="372"/>
    </row>
    <row r="170" spans="1:21" ht="13.8" thickBot="1">
      <c r="A170" s="328">
        <v>170</v>
      </c>
      <c r="C170" s="351"/>
      <c r="D170" s="351"/>
      <c r="E170" s="935"/>
      <c r="F170" s="935"/>
      <c r="G170" s="957"/>
      <c r="H170" s="983" t="s">
        <v>1318</v>
      </c>
      <c r="I170" s="1024" t="s">
        <v>1443</v>
      </c>
      <c r="J170" s="1034">
        <v>0</v>
      </c>
      <c r="K170" s="1025"/>
      <c r="M170" s="349" t="str">
        <f t="shared" ref="M170:M208" si="17">IF(ISBLANK(J170),"未入力あり","〇")</f>
        <v>〇</v>
      </c>
      <c r="O170" s="156"/>
      <c r="T170" s="372"/>
      <c r="U170" s="372"/>
    </row>
    <row r="171" spans="1:21" ht="13.8" thickBot="1">
      <c r="A171" s="328">
        <v>171</v>
      </c>
      <c r="C171" s="351"/>
      <c r="D171" s="351"/>
      <c r="E171" s="935"/>
      <c r="F171" s="935"/>
      <c r="G171" s="957"/>
      <c r="H171" s="983" t="s">
        <v>1319</v>
      </c>
      <c r="I171" s="1024" t="s">
        <v>1443</v>
      </c>
      <c r="J171" s="1034">
        <v>1</v>
      </c>
      <c r="K171" s="1025"/>
      <c r="M171" s="349" t="str">
        <f t="shared" si="17"/>
        <v>〇</v>
      </c>
      <c r="O171" s="156"/>
      <c r="T171" s="372"/>
      <c r="U171" s="372"/>
    </row>
    <row r="172" spans="1:21" ht="13.8" thickBot="1">
      <c r="A172" s="328">
        <v>172</v>
      </c>
      <c r="C172" s="351"/>
      <c r="D172" s="351"/>
      <c r="E172" s="935"/>
      <c r="F172" s="935"/>
      <c r="G172" s="957"/>
      <c r="H172" s="983" t="s">
        <v>1320</v>
      </c>
      <c r="I172" s="1024" t="s">
        <v>1443</v>
      </c>
      <c r="J172" s="1034">
        <v>0</v>
      </c>
      <c r="K172" s="1025"/>
      <c r="M172" s="349" t="str">
        <f t="shared" si="17"/>
        <v>〇</v>
      </c>
      <c r="O172" s="156"/>
      <c r="T172" s="372"/>
      <c r="U172" s="372"/>
    </row>
    <row r="173" spans="1:21" ht="13.8" thickBot="1">
      <c r="A173" s="328">
        <v>173</v>
      </c>
      <c r="C173" s="351"/>
      <c r="D173" s="351"/>
      <c r="E173" s="351"/>
      <c r="F173" s="935"/>
      <c r="G173" s="957"/>
      <c r="H173" s="987" t="s">
        <v>1465</v>
      </c>
      <c r="I173" s="1022" t="s">
        <v>1443</v>
      </c>
      <c r="J173" s="100" t="s">
        <v>1179</v>
      </c>
      <c r="K173" s="1025"/>
      <c r="M173" s="349" t="str">
        <f t="shared" si="17"/>
        <v>〇</v>
      </c>
      <c r="O173" s="156"/>
      <c r="T173" s="372"/>
      <c r="U173" s="372"/>
    </row>
    <row r="174" spans="1:21" ht="13.8" thickBot="1">
      <c r="A174" s="328">
        <v>174</v>
      </c>
      <c r="C174" s="351"/>
      <c r="D174" s="351"/>
      <c r="E174" s="351"/>
      <c r="F174" s="936" t="s">
        <v>1450</v>
      </c>
      <c r="G174" s="937"/>
      <c r="H174" s="942" t="s">
        <v>645</v>
      </c>
      <c r="I174" s="994" t="s">
        <v>1313</v>
      </c>
      <c r="J174" s="1034">
        <v>1</v>
      </c>
      <c r="K174" s="1025"/>
      <c r="M174" s="349" t="str">
        <f t="shared" si="17"/>
        <v>〇</v>
      </c>
      <c r="O174" s="156"/>
      <c r="T174" s="372"/>
      <c r="U174" s="372"/>
    </row>
    <row r="175" spans="1:21" ht="13.8" thickBot="1">
      <c r="A175" s="328">
        <v>175</v>
      </c>
      <c r="C175" s="351"/>
      <c r="D175" s="351"/>
      <c r="E175" s="351"/>
      <c r="F175" s="935"/>
      <c r="G175" s="957"/>
      <c r="H175" s="981" t="s">
        <v>1317</v>
      </c>
      <c r="I175" s="1024" t="s">
        <v>1461</v>
      </c>
      <c r="J175" s="1014" t="s">
        <v>1804</v>
      </c>
      <c r="K175" s="1025"/>
      <c r="M175" s="349" t="str">
        <f t="shared" si="17"/>
        <v>〇</v>
      </c>
      <c r="O175" s="156"/>
      <c r="T175" s="372"/>
      <c r="U175" s="372"/>
    </row>
    <row r="176" spans="1:21" ht="13.8" thickBot="1">
      <c r="A176" s="328">
        <v>176</v>
      </c>
      <c r="C176" s="351"/>
      <c r="D176" s="351"/>
      <c r="E176" s="351"/>
      <c r="F176" s="935"/>
      <c r="G176" s="957"/>
      <c r="H176" s="983" t="s">
        <v>1321</v>
      </c>
      <c r="I176" s="1024" t="s">
        <v>1443</v>
      </c>
      <c r="J176" s="1034">
        <v>0</v>
      </c>
      <c r="K176" s="1025"/>
      <c r="M176" s="349" t="str">
        <f t="shared" si="17"/>
        <v>〇</v>
      </c>
      <c r="O176" s="156"/>
      <c r="T176" s="372"/>
      <c r="U176" s="372"/>
    </row>
    <row r="177" spans="1:21" ht="13.8" thickBot="1">
      <c r="A177" s="328">
        <v>177</v>
      </c>
      <c r="C177" s="351"/>
      <c r="D177" s="351"/>
      <c r="E177" s="351"/>
      <c r="F177" s="935"/>
      <c r="G177" s="957"/>
      <c r="H177" s="987" t="s">
        <v>1302</v>
      </c>
      <c r="I177" s="1022" t="s">
        <v>1443</v>
      </c>
      <c r="J177" s="1034">
        <v>0</v>
      </c>
      <c r="K177" s="1025"/>
      <c r="M177" s="349" t="str">
        <f t="shared" si="17"/>
        <v>〇</v>
      </c>
      <c r="O177" s="156"/>
      <c r="T177" s="372"/>
      <c r="U177" s="372"/>
    </row>
    <row r="178" spans="1:21" ht="13.8" thickBot="1">
      <c r="A178" s="328">
        <v>178</v>
      </c>
      <c r="C178" s="351"/>
      <c r="D178" s="351"/>
      <c r="E178" s="351"/>
      <c r="F178" s="935"/>
      <c r="G178" s="957"/>
      <c r="H178" s="942" t="s">
        <v>646</v>
      </c>
      <c r="I178" s="994" t="s">
        <v>1461</v>
      </c>
      <c r="J178" s="1034">
        <v>1</v>
      </c>
      <c r="K178" s="1025"/>
      <c r="M178" s="349" t="str">
        <f t="shared" si="17"/>
        <v>〇</v>
      </c>
      <c r="O178" s="156"/>
      <c r="T178" s="372"/>
      <c r="U178" s="372"/>
    </row>
    <row r="179" spans="1:21" ht="13.8" thickBot="1">
      <c r="A179" s="328">
        <v>179</v>
      </c>
      <c r="C179" s="351"/>
      <c r="D179" s="351"/>
      <c r="E179" s="351"/>
      <c r="F179" s="935"/>
      <c r="G179" s="957"/>
      <c r="H179" s="981" t="s">
        <v>1325</v>
      </c>
      <c r="I179" s="1022" t="s">
        <v>1461</v>
      </c>
      <c r="J179" s="1014" t="s">
        <v>1805</v>
      </c>
      <c r="K179" s="1025"/>
      <c r="M179" s="349" t="str">
        <f t="shared" si="17"/>
        <v>〇</v>
      </c>
      <c r="O179" s="156"/>
      <c r="T179" s="372"/>
      <c r="U179" s="372"/>
    </row>
    <row r="180" spans="1:21" ht="13.8" thickBot="1">
      <c r="A180" s="328">
        <v>180</v>
      </c>
      <c r="C180" s="351"/>
      <c r="D180" s="351"/>
      <c r="E180" s="351"/>
      <c r="F180" s="935"/>
      <c r="G180" s="957"/>
      <c r="H180" s="983" t="s">
        <v>1327</v>
      </c>
      <c r="I180" s="1024" t="s">
        <v>1263</v>
      </c>
      <c r="J180" s="1034">
        <v>1</v>
      </c>
      <c r="K180" s="1025"/>
      <c r="M180" s="349" t="str">
        <f t="shared" si="17"/>
        <v>〇</v>
      </c>
      <c r="O180" s="156"/>
      <c r="T180" s="372"/>
      <c r="U180" s="372"/>
    </row>
    <row r="181" spans="1:21" ht="13.8" thickBot="1">
      <c r="A181" s="328">
        <v>181</v>
      </c>
      <c r="C181" s="351"/>
      <c r="D181" s="351"/>
      <c r="E181" s="351"/>
      <c r="F181" s="935"/>
      <c r="G181" s="957"/>
      <c r="H181" s="982" t="s">
        <v>1326</v>
      </c>
      <c r="I181" s="1055" t="s">
        <v>1461</v>
      </c>
      <c r="J181" s="1014" t="s">
        <v>1805</v>
      </c>
      <c r="K181" s="1025"/>
      <c r="M181" s="349" t="str">
        <f t="shared" si="17"/>
        <v>〇</v>
      </c>
      <c r="O181" s="156"/>
      <c r="T181" s="372"/>
      <c r="U181" s="372"/>
    </row>
    <row r="182" spans="1:21" ht="13.8" thickBot="1">
      <c r="A182" s="328">
        <v>182</v>
      </c>
      <c r="C182" s="351"/>
      <c r="D182" s="351"/>
      <c r="E182" s="351"/>
      <c r="F182" s="939"/>
      <c r="G182" s="948"/>
      <c r="H182" s="1041" t="s">
        <v>1327</v>
      </c>
      <c r="I182" s="1056" t="s">
        <v>1263</v>
      </c>
      <c r="J182" s="1034">
        <v>1</v>
      </c>
      <c r="K182" s="1025"/>
      <c r="M182" s="349" t="str">
        <f t="shared" si="17"/>
        <v>〇</v>
      </c>
      <c r="O182" s="156"/>
      <c r="T182" s="372"/>
      <c r="U182" s="372"/>
    </row>
    <row r="183" spans="1:21" ht="13.8" thickBot="1">
      <c r="A183" s="328">
        <v>183</v>
      </c>
      <c r="C183" s="351"/>
      <c r="D183" s="351"/>
      <c r="E183" s="351"/>
      <c r="F183" s="935" t="s">
        <v>1451</v>
      </c>
      <c r="G183" s="957"/>
      <c r="H183" s="942" t="s">
        <v>647</v>
      </c>
      <c r="I183" s="1022" t="s">
        <v>1264</v>
      </c>
      <c r="J183" s="1034">
        <v>1</v>
      </c>
      <c r="K183" s="1025"/>
      <c r="M183" s="349" t="str">
        <f t="shared" si="17"/>
        <v>〇</v>
      </c>
      <c r="O183" s="156"/>
      <c r="T183" s="372"/>
      <c r="U183" s="372"/>
    </row>
    <row r="184" spans="1:21" ht="13.8" thickBot="1">
      <c r="A184" s="328">
        <v>184</v>
      </c>
      <c r="C184" s="351"/>
      <c r="D184" s="351"/>
      <c r="E184" s="351"/>
      <c r="F184" s="935"/>
      <c r="G184" s="957"/>
      <c r="H184" s="982" t="s">
        <v>1328</v>
      </c>
      <c r="I184" s="1057" t="s">
        <v>1303</v>
      </c>
      <c r="J184" s="1014" t="s">
        <v>1805</v>
      </c>
      <c r="K184" s="1025"/>
      <c r="M184" s="349" t="str">
        <f t="shared" si="17"/>
        <v>〇</v>
      </c>
      <c r="O184" s="156"/>
      <c r="T184" s="372"/>
      <c r="U184" s="372"/>
    </row>
    <row r="185" spans="1:21" ht="13.8" thickBot="1">
      <c r="A185" s="328">
        <v>185</v>
      </c>
      <c r="C185" s="351"/>
      <c r="D185" s="351"/>
      <c r="E185" s="351"/>
      <c r="F185" s="935"/>
      <c r="G185" s="957"/>
      <c r="H185" s="1054" t="s">
        <v>1330</v>
      </c>
      <c r="I185" s="1057" t="s">
        <v>1303</v>
      </c>
      <c r="J185" s="1034">
        <v>1</v>
      </c>
      <c r="K185" s="1025"/>
      <c r="M185" s="349" t="str">
        <f t="shared" si="17"/>
        <v>〇</v>
      </c>
      <c r="O185" s="156"/>
      <c r="T185" s="372"/>
      <c r="U185" s="372"/>
    </row>
    <row r="186" spans="1:21" ht="13.8" thickBot="1">
      <c r="A186" s="328">
        <v>186</v>
      </c>
      <c r="C186" s="351"/>
      <c r="D186" s="351"/>
      <c r="E186" s="351"/>
      <c r="F186" s="935"/>
      <c r="G186" s="957"/>
      <c r="H186" s="1032" t="s">
        <v>1329</v>
      </c>
      <c r="I186" s="1057" t="s">
        <v>1303</v>
      </c>
      <c r="J186" s="1014" t="s">
        <v>1805</v>
      </c>
      <c r="K186" s="1025"/>
      <c r="M186" s="349" t="str">
        <f t="shared" si="17"/>
        <v>〇</v>
      </c>
      <c r="O186" s="156"/>
      <c r="T186" s="372"/>
      <c r="U186" s="372"/>
    </row>
    <row r="187" spans="1:21" ht="13.8" thickBot="1">
      <c r="A187" s="328">
        <v>187</v>
      </c>
      <c r="C187" s="351"/>
      <c r="D187" s="351"/>
      <c r="E187" s="351"/>
      <c r="F187" s="935"/>
      <c r="G187" s="957"/>
      <c r="H187" s="1054" t="s">
        <v>1330</v>
      </c>
      <c r="I187" s="1057" t="s">
        <v>1303</v>
      </c>
      <c r="J187" s="1034">
        <v>1</v>
      </c>
      <c r="K187" s="1058"/>
      <c r="M187" s="349" t="str">
        <f t="shared" si="17"/>
        <v>〇</v>
      </c>
      <c r="O187" s="156"/>
      <c r="T187" s="372"/>
      <c r="U187" s="372"/>
    </row>
    <row r="188" spans="1:21" ht="13.8" thickBot="1">
      <c r="A188" s="328">
        <v>188</v>
      </c>
      <c r="C188" s="351"/>
      <c r="D188" s="351"/>
      <c r="E188" s="351"/>
      <c r="F188" s="939"/>
      <c r="G188" s="948"/>
      <c r="H188" s="1041" t="s">
        <v>1465</v>
      </c>
      <c r="I188" s="1001" t="s">
        <v>565</v>
      </c>
      <c r="J188" s="100" t="s">
        <v>1179</v>
      </c>
      <c r="K188" s="1035"/>
      <c r="M188" s="349" t="str">
        <f t="shared" si="17"/>
        <v>〇</v>
      </c>
      <c r="O188" s="156"/>
      <c r="T188" s="372"/>
      <c r="U188" s="372"/>
    </row>
    <row r="189" spans="1:21" ht="13.8" thickBot="1">
      <c r="A189" s="328">
        <v>189</v>
      </c>
      <c r="C189" s="351"/>
      <c r="D189" s="351"/>
      <c r="E189" s="351"/>
      <c r="F189" s="935" t="s">
        <v>1452</v>
      </c>
      <c r="G189" s="957"/>
      <c r="H189" s="981" t="s">
        <v>1332</v>
      </c>
      <c r="I189" s="994" t="str">
        <f>IF(J31="はい","A",IF(J31="いいえ","-","A／-"))</f>
        <v>A</v>
      </c>
      <c r="J189" s="1034">
        <v>5</v>
      </c>
      <c r="K189" s="1023" t="s">
        <v>1609</v>
      </c>
      <c r="M189" s="872" t="str">
        <f>+IF(I189="A",IF(ISBLANK(J189),"未入力あり",IF(J189&gt;=1,"○","×")),"")</f>
        <v>○</v>
      </c>
      <c r="O189" s="156"/>
      <c r="T189" s="372"/>
      <c r="U189" s="372"/>
    </row>
    <row r="190" spans="1:21" ht="13.8" thickBot="1">
      <c r="A190" s="328">
        <v>190</v>
      </c>
      <c r="C190" s="351"/>
      <c r="D190" s="351"/>
      <c r="E190" s="351"/>
      <c r="F190" s="935"/>
      <c r="G190" s="957"/>
      <c r="H190" s="983" t="s">
        <v>1333</v>
      </c>
      <c r="I190" s="1024" t="s">
        <v>1303</v>
      </c>
      <c r="J190" s="1034">
        <v>5</v>
      </c>
      <c r="K190" s="1025"/>
      <c r="M190" s="349" t="str">
        <f t="shared" si="17"/>
        <v>〇</v>
      </c>
      <c r="O190" s="156"/>
      <c r="T190" s="372"/>
      <c r="U190" s="372"/>
    </row>
    <row r="191" spans="1:21" ht="13.8" thickBot="1">
      <c r="A191" s="328">
        <v>191</v>
      </c>
      <c r="C191" s="351"/>
      <c r="D191" s="351"/>
      <c r="E191" s="351"/>
      <c r="F191" s="935"/>
      <c r="G191" s="957"/>
      <c r="H191" s="983" t="s">
        <v>1334</v>
      </c>
      <c r="I191" s="1024" t="s">
        <v>1303</v>
      </c>
      <c r="J191" s="1034">
        <v>4</v>
      </c>
      <c r="K191" s="1025"/>
      <c r="M191" s="349" t="str">
        <f t="shared" si="17"/>
        <v>〇</v>
      </c>
      <c r="O191" s="156"/>
      <c r="T191" s="372"/>
      <c r="U191" s="372"/>
    </row>
    <row r="192" spans="1:21" ht="13.8" thickBot="1">
      <c r="A192" s="328">
        <v>192</v>
      </c>
      <c r="C192" s="351"/>
      <c r="D192" s="351"/>
      <c r="E192" s="351"/>
      <c r="F192" s="935"/>
      <c r="G192" s="957"/>
      <c r="H192" s="982" t="s">
        <v>1335</v>
      </c>
      <c r="I192" s="1024" t="s">
        <v>1313</v>
      </c>
      <c r="J192" s="1014" t="s">
        <v>1805</v>
      </c>
      <c r="K192" s="1025"/>
      <c r="M192" s="349" t="str">
        <f t="shared" si="17"/>
        <v>〇</v>
      </c>
      <c r="O192" s="156"/>
      <c r="T192" s="372"/>
      <c r="U192" s="372"/>
    </row>
    <row r="193" spans="1:21" ht="13.8" thickBot="1">
      <c r="A193" s="328">
        <v>193</v>
      </c>
      <c r="C193" s="351"/>
      <c r="D193" s="351"/>
      <c r="E193" s="351"/>
      <c r="F193" s="935"/>
      <c r="G193" s="957"/>
      <c r="H193" s="983" t="s">
        <v>1336</v>
      </c>
      <c r="I193" s="1024" t="s">
        <v>1303</v>
      </c>
      <c r="J193" s="1034">
        <v>4</v>
      </c>
      <c r="K193" s="1025"/>
      <c r="M193" s="349" t="str">
        <f t="shared" si="17"/>
        <v>〇</v>
      </c>
      <c r="O193" s="156"/>
      <c r="T193" s="372"/>
      <c r="U193" s="372"/>
    </row>
    <row r="194" spans="1:21" ht="13.8" thickBot="1">
      <c r="A194" s="328">
        <v>194</v>
      </c>
      <c r="C194" s="351"/>
      <c r="D194" s="351"/>
      <c r="E194" s="351"/>
      <c r="F194" s="939"/>
      <c r="G194" s="940"/>
      <c r="H194" s="1041" t="s">
        <v>1465</v>
      </c>
      <c r="I194" s="1009" t="s">
        <v>1303</v>
      </c>
      <c r="J194" s="100">
        <v>2</v>
      </c>
      <c r="K194" s="1026"/>
      <c r="M194" s="349" t="str">
        <f t="shared" si="17"/>
        <v>〇</v>
      </c>
      <c r="O194" s="156"/>
      <c r="T194" s="372"/>
      <c r="U194" s="372"/>
    </row>
    <row r="195" spans="1:21" ht="13.8" thickBot="1">
      <c r="A195" s="328">
        <v>195</v>
      </c>
      <c r="C195" s="351"/>
      <c r="D195" s="351"/>
      <c r="E195" s="351"/>
      <c r="F195" s="935" t="s">
        <v>1459</v>
      </c>
      <c r="G195" s="957"/>
      <c r="H195" s="981" t="s">
        <v>648</v>
      </c>
      <c r="I195" s="1022" t="s">
        <v>1263</v>
      </c>
      <c r="J195" s="1034">
        <v>17</v>
      </c>
      <c r="K195" s="1023"/>
      <c r="M195" s="349" t="str">
        <f t="shared" si="17"/>
        <v>〇</v>
      </c>
      <c r="O195" s="156"/>
      <c r="T195" s="372"/>
      <c r="U195" s="373"/>
    </row>
    <row r="196" spans="1:21" ht="13.8" thickBot="1">
      <c r="A196" s="328">
        <v>196</v>
      </c>
      <c r="C196" s="351"/>
      <c r="D196" s="351"/>
      <c r="E196" s="351"/>
      <c r="F196" s="935"/>
      <c r="G196" s="957"/>
      <c r="H196" s="1054" t="s">
        <v>649</v>
      </c>
      <c r="I196" s="1031" t="s">
        <v>1263</v>
      </c>
      <c r="J196" s="1034">
        <v>11</v>
      </c>
      <c r="K196" s="1032"/>
      <c r="M196" s="349" t="str">
        <f t="shared" si="17"/>
        <v>〇</v>
      </c>
      <c r="O196" s="156"/>
      <c r="T196" s="372"/>
      <c r="U196" s="373"/>
    </row>
    <row r="197" spans="1:21" ht="13.8" thickBot="1">
      <c r="A197" s="328">
        <v>197</v>
      </c>
      <c r="C197" s="351"/>
      <c r="D197" s="351"/>
      <c r="E197" s="351"/>
      <c r="F197" s="935"/>
      <c r="G197" s="957"/>
      <c r="H197" s="983" t="s">
        <v>650</v>
      </c>
      <c r="I197" s="1024" t="s">
        <v>1263</v>
      </c>
      <c r="J197" s="1034">
        <v>4</v>
      </c>
      <c r="K197" s="982"/>
      <c r="M197" s="349" t="str">
        <f t="shared" si="17"/>
        <v>〇</v>
      </c>
      <c r="O197" s="156"/>
      <c r="T197" s="372"/>
      <c r="U197" s="373"/>
    </row>
    <row r="198" spans="1:21" ht="13.8" thickBot="1">
      <c r="A198" s="328">
        <v>198</v>
      </c>
      <c r="C198" s="351"/>
      <c r="D198" s="364"/>
      <c r="E198" s="364"/>
      <c r="F198" s="939"/>
      <c r="G198" s="940"/>
      <c r="H198" s="1041" t="s">
        <v>651</v>
      </c>
      <c r="I198" s="995" t="s">
        <v>1263</v>
      </c>
      <c r="J198" s="1034">
        <v>2</v>
      </c>
      <c r="K198" s="1026"/>
      <c r="M198" s="349" t="str">
        <f t="shared" si="17"/>
        <v>〇</v>
      </c>
      <c r="O198" s="156"/>
      <c r="T198" s="372"/>
      <c r="U198" s="373"/>
    </row>
    <row r="199" spans="1:21" ht="13.8" thickBot="1">
      <c r="A199" s="328">
        <v>199</v>
      </c>
      <c r="C199" s="351"/>
      <c r="D199" s="352" t="s">
        <v>652</v>
      </c>
      <c r="E199" s="353" t="s">
        <v>653</v>
      </c>
      <c r="F199" s="989"/>
      <c r="G199" s="989"/>
      <c r="H199" s="990"/>
      <c r="I199" s="1037"/>
      <c r="J199" s="1156"/>
      <c r="K199" s="1038"/>
      <c r="O199" s="156"/>
    </row>
    <row r="200" spans="1:21" ht="13.8" thickBot="1">
      <c r="A200" s="328">
        <v>200</v>
      </c>
      <c r="C200" s="351"/>
      <c r="D200" s="935"/>
      <c r="E200" s="931" t="s">
        <v>1337</v>
      </c>
      <c r="F200" s="933"/>
      <c r="G200" s="933"/>
      <c r="H200" s="938" t="s">
        <v>654</v>
      </c>
      <c r="I200" s="997" t="s">
        <v>1263</v>
      </c>
      <c r="J200" s="1014" t="s">
        <v>1805</v>
      </c>
      <c r="K200" s="1030" t="s">
        <v>655</v>
      </c>
      <c r="M200" s="349" t="str">
        <f t="shared" si="17"/>
        <v>〇</v>
      </c>
      <c r="O200" s="156"/>
    </row>
    <row r="201" spans="1:21" ht="27" thickBot="1">
      <c r="A201" s="328">
        <v>201</v>
      </c>
      <c r="C201" s="351"/>
      <c r="D201" s="935"/>
      <c r="E201" s="931" t="s">
        <v>1338</v>
      </c>
      <c r="F201" s="933"/>
      <c r="G201" s="933"/>
      <c r="H201" s="938" t="s">
        <v>656</v>
      </c>
      <c r="I201" s="997" t="s">
        <v>1341</v>
      </c>
      <c r="J201" s="1014" t="s">
        <v>1805</v>
      </c>
      <c r="K201" s="1030"/>
      <c r="M201" s="349" t="str">
        <f t="shared" si="17"/>
        <v>〇</v>
      </c>
      <c r="O201" s="156"/>
    </row>
    <row r="202" spans="1:21" ht="13.8" thickBot="1">
      <c r="A202" s="328">
        <v>202</v>
      </c>
      <c r="C202" s="351"/>
      <c r="D202" s="935"/>
      <c r="E202" s="1089"/>
      <c r="F202" s="1059"/>
      <c r="G202" s="1059"/>
      <c r="H202" s="941" t="s">
        <v>657</v>
      </c>
      <c r="I202" s="1009" t="s">
        <v>1263</v>
      </c>
      <c r="J202" s="1014" t="s">
        <v>1804</v>
      </c>
      <c r="K202" s="1026"/>
      <c r="M202" s="349" t="str">
        <f t="shared" si="17"/>
        <v>〇</v>
      </c>
      <c r="O202" s="156"/>
    </row>
    <row r="203" spans="1:21" ht="27" thickBot="1">
      <c r="A203" s="328">
        <v>203</v>
      </c>
      <c r="C203" s="351"/>
      <c r="D203" s="935"/>
      <c r="E203" s="1108" t="s">
        <v>1339</v>
      </c>
      <c r="F203" s="1060"/>
      <c r="G203" s="1060"/>
      <c r="H203" s="951" t="s">
        <v>658</v>
      </c>
      <c r="I203" s="996" t="s">
        <v>1262</v>
      </c>
      <c r="J203" s="1014" t="s">
        <v>1805</v>
      </c>
      <c r="K203" s="1015"/>
      <c r="M203" s="349" t="str">
        <f t="shared" ref="M203" si="18">+IF(I203="A",IF(ISBLANK(J203),"未入力あり",IF(J203="はい","○","×")),"")</f>
        <v>○</v>
      </c>
      <c r="O203" s="156"/>
    </row>
    <row r="204" spans="1:21" ht="13.8" thickBot="1">
      <c r="A204" s="328">
        <v>204</v>
      </c>
      <c r="C204" s="351"/>
      <c r="D204" s="935"/>
      <c r="E204" s="1089" t="s">
        <v>1340</v>
      </c>
      <c r="F204" s="1059"/>
      <c r="G204" s="1059"/>
      <c r="H204" s="981" t="s">
        <v>659</v>
      </c>
      <c r="I204" s="1022" t="s">
        <v>1341</v>
      </c>
      <c r="J204" s="1014" t="s">
        <v>1846</v>
      </c>
      <c r="K204" s="1023" t="s">
        <v>660</v>
      </c>
      <c r="M204" s="349" t="str">
        <f t="shared" si="17"/>
        <v>〇</v>
      </c>
      <c r="O204" s="156"/>
    </row>
    <row r="205" spans="1:21" ht="13.8" thickBot="1">
      <c r="A205" s="328">
        <v>205</v>
      </c>
      <c r="C205" s="351"/>
      <c r="D205" s="935"/>
      <c r="E205" s="1089"/>
      <c r="F205" s="1059"/>
      <c r="G205" s="1059"/>
      <c r="H205" s="974" t="s">
        <v>1610</v>
      </c>
      <c r="I205" s="1011" t="s">
        <v>1341</v>
      </c>
      <c r="J205" s="1014" t="s">
        <v>1804</v>
      </c>
      <c r="K205" s="982"/>
      <c r="M205" s="349" t="str">
        <f t="shared" si="17"/>
        <v>〇</v>
      </c>
      <c r="O205" s="156"/>
    </row>
    <row r="206" spans="1:21" ht="13.8" thickBot="1">
      <c r="A206" s="328">
        <v>206</v>
      </c>
      <c r="C206" s="351"/>
      <c r="D206" s="935"/>
      <c r="E206" s="1089"/>
      <c r="F206" s="1059"/>
      <c r="G206" s="1059"/>
      <c r="H206" s="983" t="s">
        <v>661</v>
      </c>
      <c r="I206" s="1011" t="s">
        <v>565</v>
      </c>
      <c r="J206" s="1014" t="s">
        <v>1805</v>
      </c>
      <c r="K206" s="982"/>
      <c r="M206" s="349" t="str">
        <f t="shared" si="17"/>
        <v>〇</v>
      </c>
      <c r="O206" s="156"/>
    </row>
    <row r="207" spans="1:21" ht="13.8" thickBot="1">
      <c r="A207" s="328">
        <v>207</v>
      </c>
      <c r="C207" s="351"/>
      <c r="D207" s="351"/>
      <c r="E207" s="406"/>
      <c r="F207" s="1059"/>
      <c r="G207" s="1059"/>
      <c r="H207" s="983" t="s">
        <v>662</v>
      </c>
      <c r="I207" s="1011" t="s">
        <v>565</v>
      </c>
      <c r="J207" s="1014" t="s">
        <v>1805</v>
      </c>
      <c r="K207" s="982"/>
      <c r="M207" s="349" t="str">
        <f t="shared" si="17"/>
        <v>〇</v>
      </c>
      <c r="O207" s="156"/>
    </row>
    <row r="208" spans="1:21" ht="40.200000000000003" thickBot="1">
      <c r="A208" s="328">
        <v>208</v>
      </c>
      <c r="C208" s="351"/>
      <c r="D208" s="351"/>
      <c r="E208" s="406"/>
      <c r="F208" s="1059"/>
      <c r="G208" s="1059"/>
      <c r="H208" s="981" t="s">
        <v>663</v>
      </c>
      <c r="I208" s="1022" t="str">
        <f>IF(AND(J206="はい",J207="はい"),"-","B")</f>
        <v>-</v>
      </c>
      <c r="J208" s="1014" t="s">
        <v>568</v>
      </c>
      <c r="K208" s="1023" t="s">
        <v>1648</v>
      </c>
      <c r="M208" s="349" t="str">
        <f t="shared" si="17"/>
        <v>〇</v>
      </c>
      <c r="O208" s="156"/>
    </row>
    <row r="209" spans="1:21" ht="13.8" thickBot="1">
      <c r="A209" s="328">
        <v>209</v>
      </c>
      <c r="C209" s="991">
        <v>2</v>
      </c>
      <c r="D209" s="1061" t="s">
        <v>664</v>
      </c>
      <c r="E209" s="1062"/>
      <c r="F209" s="1062"/>
      <c r="G209" s="1062"/>
      <c r="H209" s="1063"/>
      <c r="I209" s="346"/>
      <c r="J209" s="1159"/>
      <c r="K209" s="347"/>
      <c r="O209" s="156"/>
    </row>
    <row r="210" spans="1:21" ht="13.8" thickBot="1">
      <c r="A210" s="328">
        <v>210</v>
      </c>
      <c r="C210" s="935"/>
      <c r="D210" s="1064" t="s">
        <v>541</v>
      </c>
      <c r="E210" s="988"/>
      <c r="F210" s="989"/>
      <c r="G210" s="989"/>
      <c r="H210" s="990"/>
      <c r="I210" s="356"/>
      <c r="J210" s="1155"/>
      <c r="K210" s="357"/>
      <c r="O210" s="156"/>
    </row>
    <row r="211" spans="1:21" ht="13.8" thickBot="1">
      <c r="A211" s="328">
        <v>211</v>
      </c>
      <c r="C211" s="935"/>
      <c r="D211" s="935"/>
      <c r="E211" s="952" t="s">
        <v>1346</v>
      </c>
      <c r="F211" s="953"/>
      <c r="G211" s="954"/>
      <c r="H211" s="938"/>
      <c r="I211" s="363" t="s">
        <v>1262</v>
      </c>
      <c r="J211" s="66" t="s">
        <v>1805</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1611</v>
      </c>
      <c r="I212" s="374" t="s">
        <v>1262</v>
      </c>
      <c r="J212" s="327">
        <v>897</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1612</v>
      </c>
      <c r="I213" s="374" t="s">
        <v>1262</v>
      </c>
      <c r="J213" s="327">
        <v>466</v>
      </c>
      <c r="K213" s="375" t="s">
        <v>666</v>
      </c>
      <c r="M213" s="349" t="str">
        <f t="shared" ref="M213" si="20">+IF(I213="A",IF(ISBLANK(J213),"未入力あり",IF(J213&gt;=200,"○","×")),"")</f>
        <v>○</v>
      </c>
      <c r="O213" s="156"/>
      <c r="T213" s="372"/>
      <c r="U213" s="372"/>
    </row>
    <row r="214" spans="1:21" ht="40.200000000000003" thickBot="1">
      <c r="A214" s="328">
        <v>214</v>
      </c>
      <c r="C214" s="935"/>
      <c r="D214" s="935"/>
      <c r="E214" s="935"/>
      <c r="F214" s="936" t="s">
        <v>1344</v>
      </c>
      <c r="G214" s="961"/>
      <c r="H214" s="1066" t="s">
        <v>1613</v>
      </c>
      <c r="I214" s="363" t="s">
        <v>1262</v>
      </c>
      <c r="J214" s="327">
        <v>922</v>
      </c>
      <c r="K214" s="348" t="s">
        <v>1748</v>
      </c>
      <c r="M214" s="349" t="str">
        <f>+IF(I214="A",IF(ISBLANK(J214),"未入力あり",IF(J214&gt;=400,"○","×")),"")</f>
        <v>○</v>
      </c>
      <c r="O214" s="156"/>
      <c r="T214" s="372"/>
      <c r="U214" s="372"/>
    </row>
    <row r="215" spans="1:21" ht="45.75" customHeight="1" thickBot="1">
      <c r="A215" s="328">
        <v>215</v>
      </c>
      <c r="C215" s="935"/>
      <c r="D215" s="935"/>
      <c r="E215" s="935"/>
      <c r="F215" s="939"/>
      <c r="G215" s="948"/>
      <c r="H215" s="1067" t="s">
        <v>1614</v>
      </c>
      <c r="I215" s="376" t="s">
        <v>565</v>
      </c>
      <c r="J215" s="327">
        <v>696</v>
      </c>
      <c r="K215" s="348"/>
      <c r="M215" s="349" t="str">
        <f t="shared" ref="M215:M217" si="21">IF(ISBLANK(J215),"未入力あり","〇")</f>
        <v>〇</v>
      </c>
      <c r="O215" s="156"/>
      <c r="T215" s="372"/>
      <c r="U215" s="373"/>
    </row>
    <row r="216" spans="1:21" ht="27" thickBot="1">
      <c r="A216" s="328">
        <v>216</v>
      </c>
      <c r="C216" s="935"/>
      <c r="D216" s="935"/>
      <c r="E216" s="935"/>
      <c r="F216" s="969" t="s">
        <v>1345</v>
      </c>
      <c r="G216" s="1065"/>
      <c r="H216" s="1066" t="s">
        <v>1615</v>
      </c>
      <c r="I216" s="374" t="s">
        <v>1262</v>
      </c>
      <c r="J216" s="327">
        <v>240</v>
      </c>
      <c r="K216" s="375" t="s">
        <v>667</v>
      </c>
      <c r="M216" s="349" t="str">
        <f>+IF(I216="A",IF(ISBLANK(J216),"未入力あり",IF(J216&gt;=35,"○","×")),"")</f>
        <v>○</v>
      </c>
      <c r="O216" s="156"/>
      <c r="T216" s="372"/>
      <c r="U216" s="372"/>
    </row>
    <row r="217" spans="1:21" ht="13.8" thickBot="1">
      <c r="A217" s="328">
        <v>217</v>
      </c>
      <c r="C217" s="939"/>
      <c r="D217" s="939"/>
      <c r="E217" s="939"/>
      <c r="F217" s="1068"/>
      <c r="G217" s="1069"/>
      <c r="H217" s="1070" t="s">
        <v>668</v>
      </c>
      <c r="I217" s="1009" t="s">
        <v>1303</v>
      </c>
      <c r="J217" s="917">
        <v>2</v>
      </c>
      <c r="K217" s="350" t="s">
        <v>669</v>
      </c>
      <c r="M217" s="349" t="str">
        <f t="shared" si="21"/>
        <v>〇</v>
      </c>
      <c r="O217" s="157"/>
    </row>
    <row r="218" spans="1:21" ht="13.8" thickBot="1">
      <c r="A218" s="328">
        <v>218</v>
      </c>
      <c r="C218" s="991">
        <v>3</v>
      </c>
      <c r="D218" s="1061" t="s">
        <v>670</v>
      </c>
      <c r="E218" s="1062"/>
      <c r="F218" s="1062"/>
      <c r="G218" s="1062"/>
      <c r="H218" s="1063"/>
      <c r="I218" s="1071"/>
      <c r="J218" s="1159"/>
      <c r="K218" s="347"/>
      <c r="O218" s="156"/>
    </row>
    <row r="219" spans="1:21" ht="13.8" thickBot="1">
      <c r="A219" s="328">
        <v>219</v>
      </c>
      <c r="C219" s="935"/>
      <c r="D219" s="1072" t="s">
        <v>671</v>
      </c>
      <c r="E219" s="989"/>
      <c r="F219" s="989"/>
      <c r="G219" s="989"/>
      <c r="H219" s="942" t="s">
        <v>1616</v>
      </c>
      <c r="I219" s="994" t="s">
        <v>1262</v>
      </c>
      <c r="J219" s="66" t="s">
        <v>1805</v>
      </c>
      <c r="K219" s="367"/>
      <c r="M219" s="349" t="str">
        <f t="shared" ref="M219:M225" si="22">+IF(I219="A",IF(ISBLANK(J219),"未入力あり",IF(J219="はい","○","×")),"")</f>
        <v>○</v>
      </c>
      <c r="O219" s="156"/>
    </row>
    <row r="220" spans="1:21" ht="13.8" thickBot="1">
      <c r="A220" s="328">
        <v>220</v>
      </c>
      <c r="C220" s="935"/>
      <c r="D220" s="1073"/>
      <c r="E220" s="1074"/>
      <c r="F220" s="1074"/>
      <c r="G220" s="1074"/>
      <c r="H220" s="974" t="s">
        <v>672</v>
      </c>
      <c r="I220" s="1011" t="s">
        <v>1262</v>
      </c>
      <c r="J220" s="66" t="s">
        <v>1805</v>
      </c>
      <c r="K220" s="386"/>
      <c r="M220" s="349" t="str">
        <f t="shared" si="22"/>
        <v>○</v>
      </c>
      <c r="O220" s="156"/>
    </row>
    <row r="221" spans="1:21" ht="13.8" thickBot="1">
      <c r="A221" s="328">
        <v>221</v>
      </c>
      <c r="C221" s="935"/>
      <c r="D221" s="1073"/>
      <c r="E221" s="1074"/>
      <c r="F221" s="1074"/>
      <c r="G221" s="1074"/>
      <c r="H221" s="941" t="s">
        <v>673</v>
      </c>
      <c r="I221" s="1009" t="s">
        <v>1262</v>
      </c>
      <c r="J221" s="66" t="s">
        <v>1805</v>
      </c>
      <c r="K221" s="350"/>
      <c r="M221" s="349" t="str">
        <f t="shared" si="22"/>
        <v>○</v>
      </c>
      <c r="O221" s="156"/>
    </row>
    <row r="222" spans="1:21" ht="27" thickBot="1">
      <c r="A222" s="328">
        <v>222</v>
      </c>
      <c r="C222" s="935"/>
      <c r="D222" s="1072" t="s">
        <v>674</v>
      </c>
      <c r="E222" s="989"/>
      <c r="F222" s="989"/>
      <c r="G222" s="989"/>
      <c r="H222" s="938" t="s">
        <v>675</v>
      </c>
      <c r="I222" s="997" t="s">
        <v>1262</v>
      </c>
      <c r="J222" s="66" t="s">
        <v>1805</v>
      </c>
      <c r="K222" s="348"/>
      <c r="M222" s="349" t="str">
        <f t="shared" si="22"/>
        <v>○</v>
      </c>
      <c r="O222" s="156"/>
    </row>
    <row r="223" spans="1:21" ht="48" customHeight="1" thickBot="1">
      <c r="A223" s="328">
        <v>223</v>
      </c>
      <c r="C223" s="935"/>
      <c r="D223" s="1072" t="s">
        <v>676</v>
      </c>
      <c r="E223" s="989"/>
      <c r="F223" s="989"/>
      <c r="G223" s="989"/>
      <c r="H223" s="938" t="s">
        <v>1347</v>
      </c>
      <c r="I223" s="1036" t="s">
        <v>1262</v>
      </c>
      <c r="J223" s="66" t="s">
        <v>1805</v>
      </c>
      <c r="K223" s="871"/>
      <c r="M223" s="349" t="str">
        <f t="shared" si="22"/>
        <v>○</v>
      </c>
      <c r="O223" s="156"/>
    </row>
    <row r="224" spans="1:21" ht="22.5" customHeight="1" thickBot="1">
      <c r="A224" s="328">
        <v>224</v>
      </c>
      <c r="C224" s="935"/>
      <c r="D224" s="1073"/>
      <c r="E224" s="1074"/>
      <c r="F224" s="1074"/>
      <c r="G224" s="1074"/>
      <c r="H224" s="974" t="s">
        <v>1350</v>
      </c>
      <c r="I224" s="1024" t="s">
        <v>1303</v>
      </c>
      <c r="J224" s="66" t="s">
        <v>1805</v>
      </c>
      <c r="K224" s="876"/>
      <c r="M224" s="349" t="str">
        <f t="shared" ref="M224:M230" si="23">IF(ISBLANK(J224),"未入力あり","〇")</f>
        <v>〇</v>
      </c>
      <c r="O224" s="156"/>
    </row>
    <row r="225" spans="1:21" ht="13.8" thickBot="1">
      <c r="A225" s="328">
        <v>225</v>
      </c>
      <c r="C225" s="935"/>
      <c r="D225" s="1073"/>
      <c r="E225" s="1074"/>
      <c r="F225" s="1074"/>
      <c r="G225" s="1074"/>
      <c r="H225" s="974" t="s">
        <v>677</v>
      </c>
      <c r="I225" s="1022" t="s">
        <v>1262</v>
      </c>
      <c r="J225" s="66" t="s">
        <v>1805</v>
      </c>
      <c r="K225" s="384"/>
      <c r="M225" s="349" t="str">
        <f t="shared" si="22"/>
        <v>○</v>
      </c>
      <c r="O225" s="156"/>
      <c r="T225" s="372"/>
      <c r="U225" s="372"/>
    </row>
    <row r="226" spans="1:21" ht="13.8" thickBot="1">
      <c r="A226" s="328">
        <v>226</v>
      </c>
      <c r="C226" s="935"/>
      <c r="D226" s="1073"/>
      <c r="E226" s="1074"/>
      <c r="F226" s="1074"/>
      <c r="G226" s="1074"/>
      <c r="H226" s="1075" t="s">
        <v>1348</v>
      </c>
      <c r="I226" s="1076" t="s">
        <v>565</v>
      </c>
      <c r="J226" s="327">
        <v>13</v>
      </c>
      <c r="K226" s="412"/>
      <c r="M226" s="349" t="str">
        <f t="shared" si="23"/>
        <v>〇</v>
      </c>
      <c r="O226" s="156"/>
      <c r="T226" s="372"/>
      <c r="U226" s="373"/>
    </row>
    <row r="227" spans="1:21" ht="13.8" thickBot="1">
      <c r="A227" s="328">
        <v>227</v>
      </c>
      <c r="C227" s="935"/>
      <c r="D227" s="1073"/>
      <c r="E227" s="1074"/>
      <c r="F227" s="1074"/>
      <c r="G227" s="1074"/>
      <c r="H227" s="964" t="s">
        <v>678</v>
      </c>
      <c r="I227" s="1005" t="s">
        <v>565</v>
      </c>
      <c r="J227" s="327">
        <v>4</v>
      </c>
      <c r="K227" s="380"/>
      <c r="M227" s="349" t="str">
        <f t="shared" si="23"/>
        <v>〇</v>
      </c>
      <c r="O227" s="156"/>
      <c r="T227" s="372"/>
      <c r="U227" s="372"/>
    </row>
    <row r="228" spans="1:21" ht="13.8" thickBot="1">
      <c r="A228" s="328">
        <v>228</v>
      </c>
      <c r="C228" s="935"/>
      <c r="D228" s="1073"/>
      <c r="E228" s="1074"/>
      <c r="F228" s="1074"/>
      <c r="G228" s="1074"/>
      <c r="H228" s="1077" t="s">
        <v>679</v>
      </c>
      <c r="I228" s="1078" t="s">
        <v>565</v>
      </c>
      <c r="J228" s="413">
        <f>+IFERROR(J227/J226,"")</f>
        <v>0.30769230769230771</v>
      </c>
      <c r="K228" s="391"/>
      <c r="O228" s="156"/>
      <c r="T228" s="372"/>
      <c r="U228" s="372"/>
    </row>
    <row r="229" spans="1:21" ht="13.8" thickBot="1">
      <c r="A229" s="328">
        <v>229</v>
      </c>
      <c r="C229" s="935"/>
      <c r="D229" s="1073"/>
      <c r="E229" s="1074"/>
      <c r="F229" s="1074"/>
      <c r="G229" s="1074"/>
      <c r="H229" s="1075" t="s">
        <v>680</v>
      </c>
      <c r="I229" s="1076" t="s">
        <v>565</v>
      </c>
      <c r="J229" s="327">
        <v>71</v>
      </c>
      <c r="K229" s="412"/>
      <c r="M229" s="349" t="str">
        <f t="shared" si="23"/>
        <v>〇</v>
      </c>
      <c r="O229" s="156"/>
      <c r="T229" s="372"/>
      <c r="U229" s="372"/>
    </row>
    <row r="230" spans="1:21" ht="13.8" thickBot="1">
      <c r="A230" s="328">
        <v>230</v>
      </c>
      <c r="C230" s="935"/>
      <c r="D230" s="1073"/>
      <c r="E230" s="1074"/>
      <c r="F230" s="1074"/>
      <c r="G230" s="1074"/>
      <c r="H230" s="964" t="s">
        <v>678</v>
      </c>
      <c r="I230" s="1005" t="s">
        <v>565</v>
      </c>
      <c r="J230" s="327">
        <v>65</v>
      </c>
      <c r="K230" s="380"/>
      <c r="M230" s="349" t="str">
        <f t="shared" si="23"/>
        <v>〇</v>
      </c>
      <c r="O230" s="156"/>
      <c r="T230" s="372"/>
      <c r="U230" s="372"/>
    </row>
    <row r="231" spans="1:21" ht="13.8" thickBot="1">
      <c r="A231" s="328">
        <v>231</v>
      </c>
      <c r="C231" s="935"/>
      <c r="D231" s="1073"/>
      <c r="E231" s="1074"/>
      <c r="F231" s="1074"/>
      <c r="G231" s="1074"/>
      <c r="H231" s="1077" t="s">
        <v>679</v>
      </c>
      <c r="I231" s="1078" t="s">
        <v>565</v>
      </c>
      <c r="J231" s="413">
        <f>+IFERROR(J230/J229,"")</f>
        <v>0.91549295774647887</v>
      </c>
      <c r="K231" s="391"/>
      <c r="O231" s="156"/>
      <c r="T231" s="372"/>
      <c r="U231" s="372"/>
    </row>
    <row r="232" spans="1:21" ht="13.8" thickBot="1">
      <c r="A232" s="328">
        <v>232</v>
      </c>
      <c r="C232" s="935"/>
      <c r="D232" s="1073"/>
      <c r="E232" s="1074"/>
      <c r="F232" s="1074"/>
      <c r="G232" s="1074"/>
      <c r="H232" s="974" t="s">
        <v>681</v>
      </c>
      <c r="I232" s="1022" t="s">
        <v>1262</v>
      </c>
      <c r="J232" s="66" t="s">
        <v>1805</v>
      </c>
      <c r="K232" s="384"/>
      <c r="M232" s="349" t="str">
        <f t="shared" ref="M232:M238" si="24">+IF(I232="A",IF(ISBLANK(J232),"未入力あり",IF(J232="はい","○","×")),"")</f>
        <v>○</v>
      </c>
      <c r="O232" s="156"/>
    </row>
    <row r="233" spans="1:21" ht="27" thickBot="1">
      <c r="A233" s="328">
        <v>233</v>
      </c>
      <c r="C233" s="935"/>
      <c r="D233" s="1073"/>
      <c r="E233" s="1074"/>
      <c r="F233" s="1074"/>
      <c r="G233" s="1074"/>
      <c r="H233" s="983" t="s">
        <v>1349</v>
      </c>
      <c r="I233" s="1024" t="s">
        <v>1303</v>
      </c>
      <c r="J233" s="100" t="s">
        <v>1807</v>
      </c>
      <c r="K233" s="384"/>
      <c r="M233" s="349" t="str">
        <f t="shared" ref="M233" si="25">IF(ISBLANK(J233),"未入力あり","〇")</f>
        <v>〇</v>
      </c>
      <c r="O233" s="156"/>
    </row>
    <row r="234" spans="1:21" ht="13.8" thickBot="1">
      <c r="A234" s="328">
        <v>234</v>
      </c>
      <c r="C234" s="935"/>
      <c r="D234" s="1073"/>
      <c r="E234" s="1074"/>
      <c r="F234" s="1074"/>
      <c r="G234" s="1074"/>
      <c r="H234" s="941" t="s">
        <v>682</v>
      </c>
      <c r="I234" s="1009" t="s">
        <v>1262</v>
      </c>
      <c r="J234" s="66" t="s">
        <v>1805</v>
      </c>
      <c r="K234" s="350"/>
      <c r="M234" s="349" t="str">
        <f t="shared" si="24"/>
        <v>○</v>
      </c>
      <c r="O234" s="156"/>
    </row>
    <row r="235" spans="1:21" ht="13.8" thickBot="1">
      <c r="A235" s="328">
        <v>235</v>
      </c>
      <c r="C235" s="935"/>
      <c r="D235" s="1072" t="s">
        <v>683</v>
      </c>
      <c r="E235" s="989"/>
      <c r="F235" s="989"/>
      <c r="G235" s="989"/>
      <c r="H235" s="938" t="s">
        <v>684</v>
      </c>
      <c r="I235" s="997" t="s">
        <v>1262</v>
      </c>
      <c r="J235" s="66" t="s">
        <v>1805</v>
      </c>
      <c r="K235" s="348"/>
      <c r="M235" s="349" t="str">
        <f t="shared" si="24"/>
        <v>○</v>
      </c>
      <c r="O235" s="156"/>
    </row>
    <row r="236" spans="1:21" ht="33" customHeight="1" thickBot="1">
      <c r="A236" s="328">
        <v>236</v>
      </c>
      <c r="C236" s="935"/>
      <c r="D236" s="1072" t="s">
        <v>685</v>
      </c>
      <c r="E236" s="989"/>
      <c r="F236" s="989"/>
      <c r="G236" s="1079"/>
      <c r="H236" s="1080" t="s">
        <v>1617</v>
      </c>
      <c r="I236" s="997" t="s">
        <v>1262</v>
      </c>
      <c r="J236" s="66" t="s">
        <v>1805</v>
      </c>
      <c r="K236" s="375"/>
      <c r="M236" s="349" t="str">
        <f t="shared" si="24"/>
        <v>○</v>
      </c>
      <c r="O236" s="156"/>
    </row>
    <row r="237" spans="1:21" ht="33" customHeight="1" thickBot="1">
      <c r="A237" s="328">
        <v>237</v>
      </c>
      <c r="C237" s="935"/>
      <c r="D237" s="1081"/>
      <c r="E237" s="1082"/>
      <c r="F237" s="1082"/>
      <c r="G237" s="1083"/>
      <c r="H237" s="1054" t="s">
        <v>1362</v>
      </c>
      <c r="I237" s="995" t="s">
        <v>1303</v>
      </c>
      <c r="J237" s="100" t="s">
        <v>1807</v>
      </c>
      <c r="K237" s="384"/>
      <c r="M237" s="349" t="str">
        <f t="shared" ref="M237" si="26">IF(ISBLANK(J237),"未入力あり","〇")</f>
        <v>〇</v>
      </c>
      <c r="O237" s="156"/>
    </row>
    <row r="238" spans="1:21" ht="27" thickBot="1">
      <c r="A238" s="328">
        <v>238</v>
      </c>
      <c r="C238" s="935"/>
      <c r="D238" s="1073" t="s">
        <v>686</v>
      </c>
      <c r="E238" s="1074"/>
      <c r="F238" s="1074"/>
      <c r="G238" s="1074"/>
      <c r="H238" s="942" t="s">
        <v>687</v>
      </c>
      <c r="I238" s="1022" t="s">
        <v>1262</v>
      </c>
      <c r="J238" s="66" t="s">
        <v>1805</v>
      </c>
      <c r="K238" s="871"/>
      <c r="M238" s="349" t="str">
        <f t="shared" si="24"/>
        <v>○</v>
      </c>
      <c r="O238" s="156"/>
    </row>
    <row r="239" spans="1:21" ht="13.8" thickBot="1">
      <c r="A239" s="328">
        <v>239</v>
      </c>
      <c r="C239" s="935"/>
      <c r="D239" s="1073"/>
      <c r="E239" s="1074"/>
      <c r="F239" s="1074"/>
      <c r="G239" s="1074"/>
      <c r="H239" s="985" t="s">
        <v>688</v>
      </c>
      <c r="I239" s="1051" t="s">
        <v>1263</v>
      </c>
      <c r="J239" s="66" t="s">
        <v>1804</v>
      </c>
      <c r="K239" s="404"/>
      <c r="M239" s="349" t="str">
        <f t="shared" ref="M239:M241" si="27">IF(ISBLANK(J239),"未入力あり","〇")</f>
        <v>〇</v>
      </c>
      <c r="O239" s="156"/>
    </row>
    <row r="240" spans="1:21" ht="13.8" thickBot="1">
      <c r="A240" s="328">
        <v>240</v>
      </c>
      <c r="C240" s="935"/>
      <c r="D240" s="1073"/>
      <c r="E240" s="1074"/>
      <c r="F240" s="1074"/>
      <c r="G240" s="1084"/>
      <c r="H240" s="1085" t="s">
        <v>1791</v>
      </c>
      <c r="I240" s="1006" t="s">
        <v>568</v>
      </c>
      <c r="J240" s="327">
        <v>2</v>
      </c>
      <c r="K240" s="383"/>
      <c r="M240" s="349" t="str">
        <f t="shared" si="27"/>
        <v>〇</v>
      </c>
      <c r="O240" s="156"/>
      <c r="T240" s="372"/>
      <c r="U240" s="373"/>
    </row>
    <row r="241" spans="1:21" ht="45.75" customHeight="1" thickBot="1">
      <c r="A241" s="328">
        <v>241</v>
      </c>
      <c r="C241" s="935"/>
      <c r="D241" s="1081"/>
      <c r="E241" s="1082"/>
      <c r="F241" s="1082"/>
      <c r="G241" s="1083"/>
      <c r="H241" s="960" t="s">
        <v>1790</v>
      </c>
      <c r="I241" s="1001" t="s">
        <v>568</v>
      </c>
      <c r="J241" s="100" t="s">
        <v>1910</v>
      </c>
      <c r="K241" s="377"/>
      <c r="M241" s="349" t="str">
        <f t="shared" si="27"/>
        <v>〇</v>
      </c>
      <c r="O241" s="156"/>
    </row>
    <row r="242" spans="1:21" ht="13.8" thickBot="1">
      <c r="A242" s="328">
        <v>242</v>
      </c>
      <c r="C242" s="935"/>
      <c r="D242" s="1073" t="s">
        <v>689</v>
      </c>
      <c r="E242" s="1074"/>
      <c r="F242" s="1074"/>
      <c r="G242" s="1074"/>
      <c r="H242" s="981" t="s">
        <v>690</v>
      </c>
      <c r="I242" s="1022" t="s">
        <v>1262</v>
      </c>
      <c r="J242" s="66" t="s">
        <v>1805</v>
      </c>
      <c r="K242" s="384"/>
      <c r="M242" s="349" t="str">
        <f t="shared" ref="M242" si="28">+IF(I242="A",IF(ISBLANK(J242),"未入力あり",IF(J242="はい","○","×")),"")</f>
        <v>○</v>
      </c>
      <c r="O242" s="156"/>
    </row>
    <row r="243" spans="1:21" ht="13.8" thickBot="1">
      <c r="A243" s="328">
        <v>243</v>
      </c>
      <c r="C243" s="935"/>
      <c r="D243" s="1073"/>
      <c r="E243" s="1074"/>
      <c r="F243" s="1074"/>
      <c r="G243" s="1084"/>
      <c r="H243" s="1085" t="str">
        <f>H240</f>
        <v>令和５年１月１日～12月31日の開催回数</v>
      </c>
      <c r="I243" s="1006" t="s">
        <v>568</v>
      </c>
      <c r="J243" s="327">
        <v>1</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1808</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1805</v>
      </c>
      <c r="K245" s="350"/>
      <c r="M245" s="349" t="str">
        <f t="shared" ref="M245" si="30">+IF(I245="A",IF(ISBLANK(J245),"未入力あり",IF(J245="はい","○","×")),"")</f>
        <v>○</v>
      </c>
      <c r="O245" s="156"/>
    </row>
    <row r="246" spans="1:21" ht="26.4" customHeight="1" thickBot="1">
      <c r="A246" s="328">
        <v>246</v>
      </c>
      <c r="C246" s="935"/>
      <c r="D246" s="1072" t="s">
        <v>692</v>
      </c>
      <c r="E246" s="989"/>
      <c r="F246" s="989"/>
      <c r="G246" s="1079"/>
      <c r="H246" s="1086" t="s">
        <v>693</v>
      </c>
      <c r="I246" s="1007" t="s">
        <v>1313</v>
      </c>
      <c r="J246" s="66" t="s">
        <v>1804</v>
      </c>
      <c r="K246" s="379"/>
      <c r="M246" s="349" t="str">
        <f t="shared" si="29"/>
        <v>〇</v>
      </c>
      <c r="O246" s="156"/>
    </row>
    <row r="247" spans="1:21" ht="13.8" thickBot="1">
      <c r="A247" s="328">
        <v>247</v>
      </c>
      <c r="C247" s="935"/>
      <c r="D247" s="1073"/>
      <c r="E247" s="1074"/>
      <c r="F247" s="1074"/>
      <c r="G247" s="1084"/>
      <c r="H247" s="983" t="s">
        <v>1351</v>
      </c>
      <c r="I247" s="1087" t="s">
        <v>1303</v>
      </c>
      <c r="J247" s="66" t="s">
        <v>1805</v>
      </c>
      <c r="K247" s="871"/>
      <c r="M247" s="349" t="str">
        <f t="shared" si="29"/>
        <v>〇</v>
      </c>
      <c r="O247" s="156"/>
    </row>
    <row r="248" spans="1:21" ht="13.8" thickBot="1">
      <c r="A248" s="328">
        <v>248</v>
      </c>
      <c r="C248" s="939"/>
      <c r="D248" s="1081"/>
      <c r="E248" s="1082"/>
      <c r="F248" s="1082"/>
      <c r="G248" s="1083"/>
      <c r="H248" s="1041" t="s">
        <v>1352</v>
      </c>
      <c r="I248" s="1088" t="s">
        <v>1303</v>
      </c>
      <c r="J248" s="66" t="s">
        <v>1804</v>
      </c>
      <c r="K248" s="877"/>
      <c r="M248" s="349" t="str">
        <f t="shared" si="29"/>
        <v>〇</v>
      </c>
      <c r="O248" s="156"/>
    </row>
    <row r="249" spans="1:21" ht="13.8" thickBot="1">
      <c r="A249" s="328">
        <v>249</v>
      </c>
      <c r="C249" s="991">
        <v>4</v>
      </c>
      <c r="D249" s="1061" t="s">
        <v>694</v>
      </c>
      <c r="E249" s="1062"/>
      <c r="F249" s="1062"/>
      <c r="G249" s="1062"/>
      <c r="H249" s="1063"/>
      <c r="I249" s="1071"/>
      <c r="J249" s="1159"/>
      <c r="K249" s="347"/>
      <c r="O249" s="156"/>
    </row>
    <row r="250" spans="1:21" ht="13.8" thickBot="1">
      <c r="A250" s="328">
        <v>250</v>
      </c>
      <c r="C250" s="935"/>
      <c r="D250" s="1064" t="s">
        <v>541</v>
      </c>
      <c r="E250" s="988" t="s">
        <v>695</v>
      </c>
      <c r="F250" s="989"/>
      <c r="G250" s="989"/>
      <c r="H250" s="990"/>
      <c r="I250" s="1037"/>
      <c r="J250" s="1155"/>
      <c r="K250" s="357"/>
      <c r="O250" s="156"/>
    </row>
    <row r="251" spans="1:21" ht="27" thickBot="1">
      <c r="A251" s="328">
        <v>251</v>
      </c>
      <c r="C251" s="935"/>
      <c r="D251" s="935"/>
      <c r="E251" s="957"/>
      <c r="F251" s="957"/>
      <c r="G251" s="957"/>
      <c r="H251" s="938" t="s">
        <v>1618</v>
      </c>
      <c r="I251" s="997" t="s">
        <v>1262</v>
      </c>
      <c r="J251" s="66" t="s">
        <v>1805</v>
      </c>
      <c r="K251" s="348" t="s">
        <v>696</v>
      </c>
      <c r="M251" s="349" t="str">
        <f>+IF(I251="A",IF(ISBLANK(J251),"未入力あり",IF(J251="はい","○","×")),"")</f>
        <v>○</v>
      </c>
      <c r="O251" s="156"/>
    </row>
    <row r="252" spans="1:21" ht="13.8" thickBot="1">
      <c r="A252" s="328">
        <v>252</v>
      </c>
      <c r="C252" s="935"/>
      <c r="D252" s="935"/>
      <c r="E252" s="957"/>
      <c r="F252" s="957"/>
      <c r="G252" s="957"/>
      <c r="H252" s="974" t="s">
        <v>697</v>
      </c>
      <c r="I252" s="1011" t="s">
        <v>1262</v>
      </c>
      <c r="J252" s="66" t="s">
        <v>1805</v>
      </c>
      <c r="K252" s="386"/>
      <c r="M252" s="349" t="str">
        <f t="shared" ref="M252" si="31">+IF(I252="A",IF(ISBLANK(J252),"未入力あり",IF(J252="はい","○","×")),"")</f>
        <v>○</v>
      </c>
      <c r="O252" s="156"/>
    </row>
    <row r="253" spans="1:21" ht="13.8" thickBot="1">
      <c r="A253" s="328">
        <v>253</v>
      </c>
      <c r="C253" s="935"/>
      <c r="D253" s="935"/>
      <c r="E253" s="957"/>
      <c r="F253" s="957"/>
      <c r="G253" s="957"/>
      <c r="H253" s="981" t="s">
        <v>698</v>
      </c>
      <c r="I253" s="1007" t="s">
        <v>1313</v>
      </c>
      <c r="J253" s="66" t="s">
        <v>1805</v>
      </c>
      <c r="K253" s="379"/>
      <c r="M253" s="349" t="str">
        <f t="shared" ref="M253:M260" si="32">IF(ISBLANK(J253),"未入力あり","〇")</f>
        <v>〇</v>
      </c>
      <c r="O253" s="156"/>
    </row>
    <row r="254" spans="1:21" ht="32.25" customHeight="1" thickBot="1">
      <c r="A254" s="328">
        <v>254</v>
      </c>
      <c r="C254" s="935"/>
      <c r="D254" s="935"/>
      <c r="E254" s="957"/>
      <c r="F254" s="957"/>
      <c r="G254" s="957"/>
      <c r="H254" s="983" t="s">
        <v>1464</v>
      </c>
      <c r="I254" s="1022" t="s">
        <v>1361</v>
      </c>
      <c r="J254" s="100" t="s">
        <v>1847</v>
      </c>
      <c r="K254" s="384"/>
      <c r="M254" s="349" t="str">
        <f t="shared" si="32"/>
        <v>〇</v>
      </c>
      <c r="O254" s="156"/>
    </row>
    <row r="255" spans="1:21" ht="13.8" thickBot="1">
      <c r="A255" s="328">
        <v>255</v>
      </c>
      <c r="C255" s="935"/>
      <c r="D255" s="935"/>
      <c r="E255" s="940"/>
      <c r="F255" s="957"/>
      <c r="G255" s="957"/>
      <c r="H255" s="965" t="s">
        <v>699</v>
      </c>
      <c r="I255" s="1005" t="s">
        <v>565</v>
      </c>
      <c r="J255" s="66" t="s">
        <v>1804</v>
      </c>
      <c r="K255" s="380"/>
      <c r="M255" s="349" t="str">
        <f t="shared" si="32"/>
        <v>〇</v>
      </c>
      <c r="O255" s="156"/>
    </row>
    <row r="256" spans="1:21" ht="13.8" thickBot="1">
      <c r="A256" s="328">
        <v>256</v>
      </c>
      <c r="C256" s="935"/>
      <c r="D256" s="935"/>
      <c r="E256" s="931" t="s">
        <v>1353</v>
      </c>
      <c r="F256" s="933"/>
      <c r="G256" s="933"/>
      <c r="H256" s="938" t="s">
        <v>1517</v>
      </c>
      <c r="I256" s="997" t="s">
        <v>1262</v>
      </c>
      <c r="J256" s="66" t="s">
        <v>1805</v>
      </c>
      <c r="K256" s="871" t="s">
        <v>1519</v>
      </c>
      <c r="M256" s="349" t="str">
        <f>+IF(I256="A",IF(ISBLANK(J256),"未入力あり",IF(J256="はい","○","×")),"")</f>
        <v>○</v>
      </c>
      <c r="O256" s="156"/>
    </row>
    <row r="257" spans="1:21" ht="13.8" thickBot="1">
      <c r="A257" s="328">
        <v>257</v>
      </c>
      <c r="C257" s="935"/>
      <c r="D257" s="935"/>
      <c r="E257" s="1089"/>
      <c r="F257" s="1059"/>
      <c r="G257" s="1059"/>
      <c r="H257" s="974" t="s">
        <v>1518</v>
      </c>
      <c r="I257" s="997" t="s">
        <v>1507</v>
      </c>
      <c r="J257" s="66" t="s">
        <v>1805</v>
      </c>
      <c r="K257" s="384"/>
      <c r="M257" s="349" t="str">
        <f>IF(ISBLANK(J257),"未入力あり","〇")</f>
        <v>〇</v>
      </c>
      <c r="O257" s="156"/>
    </row>
    <row r="258" spans="1:21" ht="45" customHeight="1" thickBot="1">
      <c r="A258" s="328">
        <v>258</v>
      </c>
      <c r="C258" s="935"/>
      <c r="D258" s="935"/>
      <c r="E258" s="1089"/>
      <c r="F258" s="1059"/>
      <c r="G258" s="1059"/>
      <c r="H258" s="1090" t="s">
        <v>1619</v>
      </c>
      <c r="I258" s="994" t="str">
        <f>IF(J257="はい","C",IF(J257="いいえ","-","C／-"))</f>
        <v>C</v>
      </c>
      <c r="J258" s="66" t="s">
        <v>1805</v>
      </c>
      <c r="K258" s="380"/>
      <c r="M258" s="349" t="str">
        <f t="shared" si="32"/>
        <v>〇</v>
      </c>
      <c r="O258" s="156"/>
    </row>
    <row r="259" spans="1:21" ht="13.8" thickBot="1">
      <c r="A259" s="328">
        <v>259</v>
      </c>
      <c r="C259" s="935"/>
      <c r="D259" s="935"/>
      <c r="E259" s="1089"/>
      <c r="F259" s="1059"/>
      <c r="G259" s="1059"/>
      <c r="H259" s="1077" t="s">
        <v>1363</v>
      </c>
      <c r="I259" s="1028" t="s">
        <v>1364</v>
      </c>
      <c r="J259" s="327">
        <v>1</v>
      </c>
      <c r="K259" s="878" t="s">
        <v>1520</v>
      </c>
      <c r="M259" s="349" t="str">
        <f t="shared" si="32"/>
        <v>〇</v>
      </c>
      <c r="O259" s="156"/>
    </row>
    <row r="260" spans="1:21" ht="13.8" thickBot="1">
      <c r="A260" s="328">
        <v>260</v>
      </c>
      <c r="C260" s="935"/>
      <c r="D260" s="935"/>
      <c r="E260" s="1089"/>
      <c r="F260" s="1059"/>
      <c r="G260" s="1059"/>
      <c r="H260" s="1091" t="s">
        <v>1365</v>
      </c>
      <c r="I260" s="995" t="s">
        <v>1361</v>
      </c>
      <c r="J260" s="66" t="s">
        <v>1804</v>
      </c>
      <c r="K260" s="384"/>
      <c r="M260" s="349" t="str">
        <f t="shared" si="32"/>
        <v>〇</v>
      </c>
      <c r="O260" s="156"/>
      <c r="T260" s="372"/>
      <c r="U260" s="373"/>
    </row>
    <row r="261" spans="1:21" ht="13.8" thickBot="1">
      <c r="A261" s="328">
        <v>261</v>
      </c>
      <c r="C261" s="935"/>
      <c r="D261" s="935"/>
      <c r="E261" s="931" t="s">
        <v>1354</v>
      </c>
      <c r="F261" s="933"/>
      <c r="G261" s="933"/>
      <c r="H261" s="938" t="s">
        <v>700</v>
      </c>
      <c r="I261" s="997" t="s">
        <v>1262</v>
      </c>
      <c r="J261" s="66" t="s">
        <v>1805</v>
      </c>
      <c r="K261" s="348"/>
      <c r="M261" s="349" t="str">
        <f t="shared" ref="M261:M271" si="33">+IF(I261="A",IF(ISBLANK(J261),"未入力あり",IF(J261="はい","○","×")),"")</f>
        <v>○</v>
      </c>
      <c r="O261" s="156"/>
    </row>
    <row r="262" spans="1:21" ht="36.6" customHeight="1" thickBot="1">
      <c r="A262" s="328">
        <v>262</v>
      </c>
      <c r="C262" s="935"/>
      <c r="D262" s="935"/>
      <c r="E262" s="931" t="s">
        <v>1355</v>
      </c>
      <c r="F262" s="933"/>
      <c r="G262" s="933"/>
      <c r="H262" s="938" t="s">
        <v>1620</v>
      </c>
      <c r="I262" s="997" t="s">
        <v>1262</v>
      </c>
      <c r="J262" s="66" t="s">
        <v>1805</v>
      </c>
      <c r="K262" s="348" t="s">
        <v>701</v>
      </c>
      <c r="M262" s="349" t="str">
        <f t="shared" si="33"/>
        <v>○</v>
      </c>
      <c r="O262" s="156"/>
    </row>
    <row r="263" spans="1:21" ht="18.75" customHeight="1" thickBot="1">
      <c r="A263" s="328">
        <v>263</v>
      </c>
      <c r="C263" s="935"/>
      <c r="D263" s="935"/>
      <c r="E263" s="1089"/>
      <c r="F263" s="1059"/>
      <c r="G263" s="1059"/>
      <c r="H263" s="951" t="s">
        <v>1366</v>
      </c>
      <c r="I263" s="996" t="s">
        <v>1262</v>
      </c>
      <c r="J263" s="66" t="s">
        <v>1805</v>
      </c>
      <c r="K263" s="375" t="s">
        <v>702</v>
      </c>
      <c r="M263" s="349" t="str">
        <f t="shared" si="33"/>
        <v>○</v>
      </c>
      <c r="O263" s="156"/>
    </row>
    <row r="264" spans="1:21" ht="13.8" thickBot="1">
      <c r="A264" s="328">
        <v>264</v>
      </c>
      <c r="C264" s="935"/>
      <c r="D264" s="935"/>
      <c r="E264" s="931" t="s">
        <v>1356</v>
      </c>
      <c r="F264" s="933"/>
      <c r="G264" s="933"/>
      <c r="H264" s="938" t="s">
        <v>703</v>
      </c>
      <c r="I264" s="997" t="s">
        <v>1262</v>
      </c>
      <c r="J264" s="66" t="s">
        <v>1805</v>
      </c>
      <c r="K264" s="348"/>
      <c r="M264" s="349" t="str">
        <f t="shared" si="33"/>
        <v>○</v>
      </c>
      <c r="O264" s="156"/>
    </row>
    <row r="265" spans="1:21" ht="40.5" customHeight="1" thickBot="1">
      <c r="A265" s="328">
        <v>265</v>
      </c>
      <c r="C265" s="935"/>
      <c r="D265" s="935"/>
      <c r="E265" s="1089"/>
      <c r="F265" s="936" t="s">
        <v>1367</v>
      </c>
      <c r="G265" s="937"/>
      <c r="H265" s="938" t="s">
        <v>704</v>
      </c>
      <c r="I265" s="997" t="s">
        <v>1364</v>
      </c>
      <c r="J265" s="66" t="s">
        <v>1804</v>
      </c>
      <c r="K265" s="348" t="s">
        <v>705</v>
      </c>
      <c r="M265" s="349" t="str">
        <f t="shared" ref="M265" si="34">IF(ISBLANK(J265),"未入力あり","〇")</f>
        <v>〇</v>
      </c>
      <c r="O265" s="156"/>
    </row>
    <row r="266" spans="1:21" ht="31.2" customHeight="1" thickBot="1">
      <c r="A266" s="328">
        <v>266</v>
      </c>
      <c r="C266" s="935"/>
      <c r="D266" s="935"/>
      <c r="E266" s="1089"/>
      <c r="F266" s="936" t="s">
        <v>1368</v>
      </c>
      <c r="G266" s="937"/>
      <c r="H266" s="938" t="s">
        <v>1521</v>
      </c>
      <c r="I266" s="997" t="s">
        <v>1262</v>
      </c>
      <c r="J266" s="66" t="s">
        <v>1805</v>
      </c>
      <c r="K266" s="348"/>
      <c r="M266" s="349" t="str">
        <f t="shared" si="33"/>
        <v>○</v>
      </c>
      <c r="O266" s="156"/>
    </row>
    <row r="267" spans="1:21" ht="13.8" thickBot="1">
      <c r="A267" s="328">
        <v>267</v>
      </c>
      <c r="C267" s="935"/>
      <c r="D267" s="935"/>
      <c r="E267" s="1089"/>
      <c r="F267" s="969" t="s">
        <v>1369</v>
      </c>
      <c r="G267" s="950"/>
      <c r="H267" s="951" t="s">
        <v>706</v>
      </c>
      <c r="I267" s="996" t="s">
        <v>1262</v>
      </c>
      <c r="J267" s="66" t="s">
        <v>1805</v>
      </c>
      <c r="K267" s="375"/>
      <c r="M267" s="349" t="str">
        <f t="shared" si="33"/>
        <v>○</v>
      </c>
      <c r="O267" s="156"/>
    </row>
    <row r="268" spans="1:21" ht="13.8" thickBot="1">
      <c r="A268" s="328">
        <v>268</v>
      </c>
      <c r="C268" s="935"/>
      <c r="D268" s="935"/>
      <c r="E268" s="1089"/>
      <c r="F268" s="936" t="s">
        <v>1370</v>
      </c>
      <c r="G268" s="961"/>
      <c r="H268" s="981" t="s">
        <v>707</v>
      </c>
      <c r="I268" s="1022" t="s">
        <v>1262</v>
      </c>
      <c r="J268" s="66" t="s">
        <v>1805</v>
      </c>
      <c r="K268" s="871"/>
      <c r="M268" s="349" t="str">
        <f t="shared" si="33"/>
        <v>○</v>
      </c>
      <c r="O268" s="156"/>
    </row>
    <row r="269" spans="1:21" ht="24" customHeight="1" thickBot="1">
      <c r="A269" s="328">
        <v>269</v>
      </c>
      <c r="C269" s="935"/>
      <c r="D269" s="935"/>
      <c r="E269" s="1089"/>
      <c r="F269" s="935"/>
      <c r="G269" s="986"/>
      <c r="H269" s="983" t="s">
        <v>1463</v>
      </c>
      <c r="I269" s="1024" t="s">
        <v>1361</v>
      </c>
      <c r="J269" s="100" t="s">
        <v>1848</v>
      </c>
      <c r="K269" s="876"/>
      <c r="M269" s="349" t="str">
        <f t="shared" ref="M269" si="35">IF(ISBLANK(J269),"未入力あり","〇")</f>
        <v>〇</v>
      </c>
      <c r="O269" s="156"/>
    </row>
    <row r="270" spans="1:21" ht="13.8" thickBot="1">
      <c r="A270" s="328">
        <v>270</v>
      </c>
      <c r="C270" s="935"/>
      <c r="D270" s="935"/>
      <c r="E270" s="1089"/>
      <c r="F270" s="939"/>
      <c r="G270" s="948"/>
      <c r="H270" s="941" t="s">
        <v>708</v>
      </c>
      <c r="I270" s="995" t="s">
        <v>1262</v>
      </c>
      <c r="J270" s="66" t="s">
        <v>1805</v>
      </c>
      <c r="K270" s="350"/>
      <c r="M270" s="349" t="str">
        <f t="shared" si="33"/>
        <v>○</v>
      </c>
      <c r="O270" s="156"/>
    </row>
    <row r="271" spans="1:21" ht="13.8" thickBot="1">
      <c r="A271" s="328">
        <v>271</v>
      </c>
      <c r="C271" s="935"/>
      <c r="D271" s="935"/>
      <c r="E271" s="1089"/>
      <c r="F271" s="935" t="s">
        <v>1371</v>
      </c>
      <c r="G271" s="957"/>
      <c r="H271" s="981" t="s">
        <v>709</v>
      </c>
      <c r="I271" s="1022" t="s">
        <v>1262</v>
      </c>
      <c r="J271" s="66" t="s">
        <v>1805</v>
      </c>
      <c r="K271" s="384"/>
      <c r="M271" s="349" t="str">
        <f t="shared" si="33"/>
        <v>○</v>
      </c>
      <c r="O271" s="156"/>
    </row>
    <row r="272" spans="1:21" ht="13.8" thickBot="1">
      <c r="A272" s="328">
        <v>272</v>
      </c>
      <c r="C272" s="935"/>
      <c r="D272" s="935"/>
      <c r="E272" s="931" t="s">
        <v>1357</v>
      </c>
      <c r="F272" s="933"/>
      <c r="G272" s="933"/>
      <c r="H272" s="938" t="s">
        <v>710</v>
      </c>
      <c r="I272" s="997" t="s">
        <v>1461</v>
      </c>
      <c r="J272" s="66" t="s">
        <v>1804</v>
      </c>
      <c r="K272" s="348"/>
      <c r="M272" s="349" t="str">
        <f t="shared" ref="M272:M273" si="36">IF(ISBLANK(J272),"未入力あり","〇")</f>
        <v>〇</v>
      </c>
      <c r="O272" s="156"/>
    </row>
    <row r="273" spans="1:15" ht="27" thickBot="1">
      <c r="A273" s="328">
        <v>273</v>
      </c>
      <c r="C273" s="935"/>
      <c r="D273" s="935"/>
      <c r="E273" s="1068"/>
      <c r="F273" s="1045"/>
      <c r="G273" s="1045"/>
      <c r="H273" s="941" t="s">
        <v>1621</v>
      </c>
      <c r="I273" s="995" t="s">
        <v>1461</v>
      </c>
      <c r="J273" s="66" t="s">
        <v>1804</v>
      </c>
      <c r="K273" s="350"/>
      <c r="M273" s="349" t="str">
        <f t="shared" si="36"/>
        <v>〇</v>
      </c>
      <c r="O273" s="156"/>
    </row>
    <row r="274" spans="1:15" ht="27" thickBot="1">
      <c r="A274" s="328">
        <v>274</v>
      </c>
      <c r="C274" s="935"/>
      <c r="D274" s="935"/>
      <c r="E274" s="1068" t="s">
        <v>1358</v>
      </c>
      <c r="F274" s="1045"/>
      <c r="G274" s="1045"/>
      <c r="H274" s="970" t="s">
        <v>711</v>
      </c>
      <c r="I274" s="1007" t="s">
        <v>1262</v>
      </c>
      <c r="J274" s="66" t="s">
        <v>1805</v>
      </c>
      <c r="K274" s="379"/>
      <c r="M274" s="349" t="str">
        <f t="shared" ref="M274:M277" si="37">+IF(I274="A",IF(ISBLANK(J274),"未入力あり",IF(J274="はい","○","×")),"")</f>
        <v>○</v>
      </c>
      <c r="O274" s="156"/>
    </row>
    <row r="275" spans="1:15" ht="34.5" customHeight="1" thickBot="1">
      <c r="A275" s="328">
        <v>275</v>
      </c>
      <c r="C275" s="935"/>
      <c r="D275" s="935"/>
      <c r="E275" s="1068" t="s">
        <v>1359</v>
      </c>
      <c r="F275" s="1045"/>
      <c r="G275" s="1045"/>
      <c r="H275" s="970" t="s">
        <v>1622</v>
      </c>
      <c r="I275" s="1007" t="s">
        <v>1262</v>
      </c>
      <c r="J275" s="66" t="s">
        <v>1805</v>
      </c>
      <c r="K275" s="1012"/>
      <c r="M275" s="349" t="str">
        <f t="shared" si="37"/>
        <v>○</v>
      </c>
      <c r="O275" s="156"/>
    </row>
    <row r="276" spans="1:15" ht="34.5" customHeight="1" thickBot="1">
      <c r="A276" s="328">
        <v>276</v>
      </c>
      <c r="C276" s="935"/>
      <c r="D276" s="935"/>
      <c r="E276" s="1089" t="s">
        <v>1360</v>
      </c>
      <c r="F276" s="1059"/>
      <c r="G276" s="1059"/>
      <c r="H276" s="981" t="s">
        <v>1623</v>
      </c>
      <c r="I276" s="1022" t="s">
        <v>1262</v>
      </c>
      <c r="J276" s="66" t="s">
        <v>1805</v>
      </c>
      <c r="K276" s="384" t="s">
        <v>1649</v>
      </c>
      <c r="M276" s="349" t="str">
        <f t="shared" si="37"/>
        <v>○</v>
      </c>
      <c r="O276" s="156"/>
    </row>
    <row r="277" spans="1:15" ht="30.6" customHeight="1" thickBot="1">
      <c r="A277" s="328">
        <v>277</v>
      </c>
      <c r="C277" s="935"/>
      <c r="D277" s="935"/>
      <c r="E277" s="1089"/>
      <c r="F277" s="1059"/>
      <c r="G277" s="1059"/>
      <c r="H277" s="974" t="s">
        <v>712</v>
      </c>
      <c r="I277" s="1024" t="s">
        <v>1565</v>
      </c>
      <c r="J277" s="66" t="s">
        <v>1805</v>
      </c>
      <c r="K277" s="386"/>
      <c r="M277" s="349" t="str">
        <f t="shared" si="37"/>
        <v>○</v>
      </c>
      <c r="O277" s="156"/>
    </row>
    <row r="278" spans="1:15" ht="13.8" thickBot="1">
      <c r="A278" s="328">
        <v>278</v>
      </c>
      <c r="C278" s="935"/>
      <c r="D278" s="1092"/>
      <c r="E278" s="1068"/>
      <c r="F278" s="1059"/>
      <c r="G278" s="1059"/>
      <c r="H278" s="981" t="s">
        <v>713</v>
      </c>
      <c r="I278" s="1022" t="s">
        <v>1564</v>
      </c>
      <c r="J278" s="1160" t="s">
        <v>1804</v>
      </c>
      <c r="K278" s="384"/>
      <c r="M278" s="349" t="str">
        <f t="shared" ref="M278" si="38">IF(ISBLANK(J278),"未入力あり","〇")</f>
        <v>〇</v>
      </c>
      <c r="O278" s="156"/>
    </row>
    <row r="279" spans="1:15" ht="13.8" thickBot="1">
      <c r="A279" s="328">
        <v>279</v>
      </c>
      <c r="C279" s="1092"/>
      <c r="D279" s="1092"/>
      <c r="E279" s="1093" t="s">
        <v>1522</v>
      </c>
      <c r="F279" s="936"/>
      <c r="G279" s="937"/>
      <c r="H279" s="1094"/>
      <c r="I279" s="1094"/>
      <c r="J279" s="1161"/>
      <c r="K279" s="920"/>
      <c r="O279" s="156"/>
    </row>
    <row r="280" spans="1:15" ht="13.8" thickBot="1">
      <c r="A280" s="328">
        <v>280</v>
      </c>
      <c r="C280" s="1092"/>
      <c r="D280" s="1092"/>
      <c r="E280" s="1095"/>
      <c r="F280" s="940"/>
      <c r="G280" s="940"/>
      <c r="H280" s="1096" t="s">
        <v>1555</v>
      </c>
      <c r="I280" s="1096"/>
      <c r="J280" s="1162"/>
      <c r="K280" s="923"/>
      <c r="M280" s="924"/>
      <c r="O280" s="156"/>
    </row>
    <row r="281" spans="1:15" ht="14.25" customHeight="1" thickBot="1">
      <c r="A281" s="328">
        <v>281</v>
      </c>
      <c r="C281" s="916"/>
      <c r="D281" s="916"/>
      <c r="E281" s="1092"/>
      <c r="F281" s="1092" t="s">
        <v>1523</v>
      </c>
      <c r="G281" s="1097"/>
      <c r="H281" s="970" t="s">
        <v>1556</v>
      </c>
      <c r="I281" s="1007" t="s">
        <v>1262</v>
      </c>
      <c r="J281" s="921" t="s">
        <v>1805</v>
      </c>
      <c r="K281" s="922"/>
      <c r="M281" s="349" t="str">
        <f>+IF(I281="A",IF(ISBLANK(J281),"未入力あり",IF(J281="はい","○","×")),"")</f>
        <v>○</v>
      </c>
      <c r="O281" s="156"/>
    </row>
    <row r="282" spans="1:15" ht="14.25" customHeight="1" thickBot="1">
      <c r="A282" s="328">
        <v>282</v>
      </c>
      <c r="C282" s="916"/>
      <c r="D282" s="916"/>
      <c r="E282" s="1092"/>
      <c r="F282" s="936" t="s">
        <v>1524</v>
      </c>
      <c r="G282" s="1080"/>
      <c r="H282" s="1080" t="s">
        <v>1557</v>
      </c>
      <c r="I282" s="1007" t="s">
        <v>1262</v>
      </c>
      <c r="J282" s="66" t="s">
        <v>1805</v>
      </c>
      <c r="K282" s="918"/>
      <c r="M282" s="349" t="str">
        <f t="shared" ref="M282:M294" si="39">+IF(I282="A",IF(ISBLANK(J282),"未入力あり",IF(J282="はい","○","×")),"")</f>
        <v>○</v>
      </c>
      <c r="O282" s="156"/>
    </row>
    <row r="283" spans="1:15" ht="13.8" thickBot="1">
      <c r="A283" s="328">
        <v>283</v>
      </c>
      <c r="C283" s="916"/>
      <c r="D283" s="916"/>
      <c r="E283" s="1092"/>
      <c r="F283" s="1092"/>
      <c r="G283" s="1098" t="s">
        <v>1525</v>
      </c>
      <c r="H283" s="1098" t="s">
        <v>1558</v>
      </c>
      <c r="I283" s="1007" t="s">
        <v>1262</v>
      </c>
      <c r="J283" s="66" t="s">
        <v>1805</v>
      </c>
      <c r="K283" s="918"/>
      <c r="M283" s="349" t="str">
        <f t="shared" si="39"/>
        <v>○</v>
      </c>
      <c r="O283" s="156"/>
    </row>
    <row r="284" spans="1:15" ht="13.8" thickBot="1">
      <c r="A284" s="328">
        <v>284</v>
      </c>
      <c r="C284" s="916"/>
      <c r="D284" s="916"/>
      <c r="E284" s="1092"/>
      <c r="F284" s="1092"/>
      <c r="G284" s="1098" t="s">
        <v>1526</v>
      </c>
      <c r="H284" s="1099" t="s">
        <v>1527</v>
      </c>
      <c r="I284" s="1007" t="s">
        <v>1262</v>
      </c>
      <c r="J284" s="66" t="s">
        <v>1805</v>
      </c>
      <c r="K284" s="918"/>
      <c r="M284" s="349" t="str">
        <f t="shared" si="39"/>
        <v>○</v>
      </c>
      <c r="O284" s="156"/>
    </row>
    <row r="285" spans="1:15" ht="13.8" thickBot="1">
      <c r="A285" s="328">
        <v>285</v>
      </c>
      <c r="C285" s="916"/>
      <c r="D285" s="916"/>
      <c r="E285" s="1092"/>
      <c r="F285" s="1092"/>
      <c r="G285" s="1098" t="s">
        <v>1528</v>
      </c>
      <c r="H285" s="1098" t="s">
        <v>1529</v>
      </c>
      <c r="I285" s="1007" t="s">
        <v>1262</v>
      </c>
      <c r="J285" s="66" t="s">
        <v>1805</v>
      </c>
      <c r="K285" s="918"/>
      <c r="M285" s="349" t="str">
        <f t="shared" si="39"/>
        <v>○</v>
      </c>
      <c r="O285" s="156"/>
    </row>
    <row r="286" spans="1:15" ht="13.8" thickBot="1">
      <c r="A286" s="328">
        <v>286</v>
      </c>
      <c r="C286" s="916"/>
      <c r="D286" s="916"/>
      <c r="E286" s="1092"/>
      <c r="F286" s="1092"/>
      <c r="G286" s="1098" t="s">
        <v>1530</v>
      </c>
      <c r="H286" s="1100" t="s">
        <v>1531</v>
      </c>
      <c r="I286" s="1007" t="s">
        <v>1262</v>
      </c>
      <c r="J286" s="66" t="s">
        <v>1805</v>
      </c>
      <c r="K286" s="918"/>
      <c r="M286" s="349" t="str">
        <f t="shared" si="39"/>
        <v>○</v>
      </c>
      <c r="O286" s="156"/>
    </row>
    <row r="287" spans="1:15" ht="13.8" thickBot="1">
      <c r="A287" s="328">
        <v>287</v>
      </c>
      <c r="C287" s="916"/>
      <c r="D287" s="916"/>
      <c r="E287" s="1092"/>
      <c r="F287" s="1092"/>
      <c r="G287" s="1098" t="s">
        <v>1532</v>
      </c>
      <c r="H287" s="1100" t="s">
        <v>1533</v>
      </c>
      <c r="I287" s="1007" t="s">
        <v>1262</v>
      </c>
      <c r="J287" s="66" t="s">
        <v>1805</v>
      </c>
      <c r="K287" s="918"/>
      <c r="M287" s="349" t="str">
        <f t="shared" si="39"/>
        <v>○</v>
      </c>
      <c r="O287" s="156"/>
    </row>
    <row r="288" spans="1:15" ht="13.8" thickBot="1">
      <c r="A288" s="328">
        <v>288</v>
      </c>
      <c r="C288" s="916"/>
      <c r="D288" s="916"/>
      <c r="E288" s="1092"/>
      <c r="F288" s="1092"/>
      <c r="G288" s="1098" t="s">
        <v>1534</v>
      </c>
      <c r="H288" s="1100" t="s">
        <v>1535</v>
      </c>
      <c r="I288" s="1007" t="s">
        <v>1262</v>
      </c>
      <c r="J288" s="66" t="s">
        <v>1805</v>
      </c>
      <c r="K288" s="918"/>
      <c r="M288" s="349" t="str">
        <f t="shared" si="39"/>
        <v>○</v>
      </c>
      <c r="O288" s="156"/>
    </row>
    <row r="289" spans="1:15" ht="13.8" thickBot="1">
      <c r="A289" s="328">
        <v>289</v>
      </c>
      <c r="C289" s="916"/>
      <c r="D289" s="916"/>
      <c r="E289" s="1092"/>
      <c r="F289" s="1092"/>
      <c r="G289" s="1101" t="s">
        <v>1536</v>
      </c>
      <c r="H289" s="1100" t="s">
        <v>1537</v>
      </c>
      <c r="I289" s="1007" t="s">
        <v>1262</v>
      </c>
      <c r="J289" s="66" t="s">
        <v>1805</v>
      </c>
      <c r="K289" s="918"/>
      <c r="M289" s="349" t="str">
        <f t="shared" si="39"/>
        <v>○</v>
      </c>
      <c r="O289" s="156"/>
    </row>
    <row r="290" spans="1:15" ht="13.8" thickBot="1">
      <c r="A290" s="328">
        <v>290</v>
      </c>
      <c r="C290" s="916"/>
      <c r="D290" s="916"/>
      <c r="E290" s="1092"/>
      <c r="F290" s="936" t="s">
        <v>1538</v>
      </c>
      <c r="G290" s="1102"/>
      <c r="H290" s="1100" t="s">
        <v>1559</v>
      </c>
      <c r="I290" s="1103"/>
      <c r="J290" s="1163"/>
      <c r="K290" s="1150"/>
      <c r="O290" s="156"/>
    </row>
    <row r="291" spans="1:15" ht="13.8" thickBot="1">
      <c r="A291" s="328">
        <v>291</v>
      </c>
      <c r="C291" s="916"/>
      <c r="D291" s="916"/>
      <c r="E291" s="1092"/>
      <c r="F291" s="1092"/>
      <c r="G291" s="1101" t="s">
        <v>1525</v>
      </c>
      <c r="H291" s="1100" t="s">
        <v>1539</v>
      </c>
      <c r="I291" s="1007" t="s">
        <v>1262</v>
      </c>
      <c r="J291" s="66" t="s">
        <v>1805</v>
      </c>
      <c r="K291" s="918"/>
      <c r="M291" s="349" t="str">
        <f t="shared" si="39"/>
        <v>○</v>
      </c>
      <c r="O291" s="156"/>
    </row>
    <row r="292" spans="1:15" ht="13.8" thickBot="1">
      <c r="A292" s="328">
        <v>292</v>
      </c>
      <c r="C292" s="916"/>
      <c r="D292" s="916"/>
      <c r="E292" s="1092"/>
      <c r="F292" s="1092"/>
      <c r="G292" s="1098" t="s">
        <v>1526</v>
      </c>
      <c r="H292" s="1100" t="s">
        <v>1540</v>
      </c>
      <c r="I292" s="1007" t="s">
        <v>1262</v>
      </c>
      <c r="J292" s="66" t="s">
        <v>1805</v>
      </c>
      <c r="K292" s="918"/>
      <c r="M292" s="349" t="str">
        <f t="shared" si="39"/>
        <v>○</v>
      </c>
      <c r="O292" s="156"/>
    </row>
    <row r="293" spans="1:15" ht="13.8" thickBot="1">
      <c r="A293" s="328">
        <v>293</v>
      </c>
      <c r="C293" s="916"/>
      <c r="D293" s="916"/>
      <c r="E293" s="1092"/>
      <c r="F293" s="1092"/>
      <c r="G293" s="1098" t="s">
        <v>1528</v>
      </c>
      <c r="H293" s="1100" t="s">
        <v>1541</v>
      </c>
      <c r="I293" s="1007" t="s">
        <v>1262</v>
      </c>
      <c r="J293" s="66" t="s">
        <v>1805</v>
      </c>
      <c r="K293" s="918"/>
      <c r="M293" s="349" t="str">
        <f t="shared" si="39"/>
        <v>○</v>
      </c>
      <c r="O293" s="156"/>
    </row>
    <row r="294" spans="1:15" ht="13.8" thickBot="1">
      <c r="A294" s="328">
        <v>294</v>
      </c>
      <c r="C294" s="916"/>
      <c r="D294" s="916"/>
      <c r="E294" s="1092"/>
      <c r="F294" s="1092"/>
      <c r="G294" s="1098" t="s">
        <v>1530</v>
      </c>
      <c r="H294" s="1100" t="s">
        <v>1542</v>
      </c>
      <c r="I294" s="1007" t="s">
        <v>1262</v>
      </c>
      <c r="J294" s="66" t="s">
        <v>1805</v>
      </c>
      <c r="K294" s="918"/>
      <c r="M294" s="349" t="str">
        <f t="shared" si="39"/>
        <v>○</v>
      </c>
      <c r="O294" s="156"/>
    </row>
    <row r="295" spans="1:15" ht="13.8" thickBot="1">
      <c r="A295" s="328">
        <v>295</v>
      </c>
      <c r="C295" s="916"/>
      <c r="D295" s="916"/>
      <c r="E295" s="1092"/>
      <c r="F295" s="1092"/>
      <c r="G295" s="1098" t="s">
        <v>1532</v>
      </c>
      <c r="H295" s="1100" t="s">
        <v>1543</v>
      </c>
      <c r="I295" s="1007" t="s">
        <v>1262</v>
      </c>
      <c r="J295" s="66" t="s">
        <v>1805</v>
      </c>
      <c r="K295" s="918"/>
      <c r="M295" s="349" t="str">
        <f>+IF(I295="A",IF(ISBLANK(J295),"未入力あり",IF(J295="はい","○","×")),"")</f>
        <v>○</v>
      </c>
      <c r="O295" s="156"/>
    </row>
    <row r="296" spans="1:15" ht="13.8" thickBot="1">
      <c r="A296" s="328">
        <v>296</v>
      </c>
      <c r="C296" s="916"/>
      <c r="D296" s="916"/>
      <c r="E296" s="1092"/>
      <c r="F296" s="936" t="s">
        <v>1544</v>
      </c>
      <c r="G296" s="1104"/>
      <c r="H296" s="1105" t="s">
        <v>1545</v>
      </c>
      <c r="I296" s="1149"/>
      <c r="J296" s="1163"/>
      <c r="K296" s="1150"/>
      <c r="O296" s="156"/>
    </row>
    <row r="297" spans="1:15" ht="13.8" thickBot="1">
      <c r="A297" s="328">
        <v>297</v>
      </c>
      <c r="C297" s="916"/>
      <c r="D297" s="916"/>
      <c r="E297" s="1092"/>
      <c r="F297" s="1092"/>
      <c r="G297" s="1098" t="s">
        <v>1525</v>
      </c>
      <c r="H297" s="1098" t="s">
        <v>1546</v>
      </c>
      <c r="I297" s="1007" t="s">
        <v>1262</v>
      </c>
      <c r="J297" s="66" t="s">
        <v>1849</v>
      </c>
      <c r="K297" s="918"/>
      <c r="M297" s="349" t="str">
        <f t="shared" ref="M297:M300" si="40">+IF(I297="A",IF(ISBLANK(J297),"未入力あり",IF(J297="はい","○","×")),"")</f>
        <v>○</v>
      </c>
      <c r="O297" s="156"/>
    </row>
    <row r="298" spans="1:15" ht="13.8" thickBot="1">
      <c r="A298" s="328">
        <v>298</v>
      </c>
      <c r="C298" s="916"/>
      <c r="D298" s="916"/>
      <c r="E298" s="1092"/>
      <c r="F298" s="1092"/>
      <c r="G298" s="1098" t="s">
        <v>1526</v>
      </c>
      <c r="H298" s="1098" t="s">
        <v>1547</v>
      </c>
      <c r="I298" s="1007" t="s">
        <v>1262</v>
      </c>
      <c r="J298" s="66" t="s">
        <v>1805</v>
      </c>
      <c r="K298" s="918"/>
      <c r="M298" s="349" t="str">
        <f t="shared" si="40"/>
        <v>○</v>
      </c>
      <c r="O298" s="156"/>
    </row>
    <row r="299" spans="1:15" ht="13.8" thickBot="1">
      <c r="A299" s="328">
        <v>299</v>
      </c>
      <c r="C299" s="916"/>
      <c r="D299" s="916"/>
      <c r="E299" s="1092"/>
      <c r="F299" s="1092"/>
      <c r="G299" s="1098" t="s">
        <v>1528</v>
      </c>
      <c r="H299" s="1098" t="s">
        <v>1548</v>
      </c>
      <c r="I299" s="1007" t="s">
        <v>1262</v>
      </c>
      <c r="J299" s="66" t="s">
        <v>1805</v>
      </c>
      <c r="K299" s="918"/>
      <c r="M299" s="349" t="str">
        <f t="shared" si="40"/>
        <v>○</v>
      </c>
      <c r="O299" s="156"/>
    </row>
    <row r="300" spans="1:15" ht="13.8" thickBot="1">
      <c r="A300" s="328">
        <v>300</v>
      </c>
      <c r="C300" s="916"/>
      <c r="D300" s="916"/>
      <c r="E300" s="1092"/>
      <c r="F300" s="1092"/>
      <c r="G300" s="1101" t="s">
        <v>1530</v>
      </c>
      <c r="H300" s="1098" t="s">
        <v>1560</v>
      </c>
      <c r="I300" s="1007" t="s">
        <v>1262</v>
      </c>
      <c r="J300" s="66" t="s">
        <v>1805</v>
      </c>
      <c r="K300" s="918"/>
      <c r="M300" s="349" t="str">
        <f t="shared" si="40"/>
        <v>○</v>
      </c>
      <c r="O300" s="156"/>
    </row>
    <row r="301" spans="1:15" ht="13.8" thickBot="1">
      <c r="A301" s="328">
        <v>301</v>
      </c>
      <c r="C301" s="916"/>
      <c r="D301" s="916"/>
      <c r="E301" s="1092"/>
      <c r="F301" s="936"/>
      <c r="G301" s="1098" t="s">
        <v>1523</v>
      </c>
      <c r="H301" s="1100" t="s">
        <v>1550</v>
      </c>
      <c r="I301" s="1007" t="s">
        <v>1262</v>
      </c>
      <c r="J301" s="919" t="s">
        <v>1921</v>
      </c>
      <c r="K301" s="918"/>
      <c r="M301" s="349" t="str">
        <f t="shared" ref="M301:M304" si="41">+IF(I301="A",IF(ISBLANK(J301),"未入力あり",IF(J301="どちらでもない","×","○")),"")</f>
        <v>○</v>
      </c>
      <c r="O301" s="156"/>
    </row>
    <row r="302" spans="1:15" ht="13.8" thickBot="1">
      <c r="A302" s="328">
        <v>302</v>
      </c>
      <c r="C302" s="916"/>
      <c r="D302" s="916"/>
      <c r="E302" s="1092"/>
      <c r="F302" s="1092"/>
      <c r="G302" s="1098" t="s">
        <v>1524</v>
      </c>
      <c r="H302" s="1100" t="s">
        <v>1551</v>
      </c>
      <c r="I302" s="1007" t="s">
        <v>1262</v>
      </c>
      <c r="J302" s="919" t="s">
        <v>1921</v>
      </c>
      <c r="K302" s="918"/>
      <c r="M302" s="349" t="str">
        <f t="shared" si="41"/>
        <v>○</v>
      </c>
      <c r="O302" s="156"/>
    </row>
    <row r="303" spans="1:15" ht="13.8" thickBot="1">
      <c r="A303" s="328">
        <v>303</v>
      </c>
      <c r="C303" s="916"/>
      <c r="D303" s="916"/>
      <c r="E303" s="1092"/>
      <c r="F303" s="1092"/>
      <c r="G303" s="1098" t="s">
        <v>1538</v>
      </c>
      <c r="H303" s="1100" t="s">
        <v>1553</v>
      </c>
      <c r="I303" s="1007" t="s">
        <v>1262</v>
      </c>
      <c r="J303" s="919" t="s">
        <v>1921</v>
      </c>
      <c r="K303" s="918"/>
      <c r="M303" s="349" t="str">
        <f t="shared" si="41"/>
        <v>○</v>
      </c>
      <c r="O303" s="156"/>
    </row>
    <row r="304" spans="1:15" ht="13.8" thickBot="1">
      <c r="A304" s="328">
        <v>304</v>
      </c>
      <c r="C304" s="916"/>
      <c r="D304" s="916"/>
      <c r="E304" s="1092"/>
      <c r="F304" s="1092"/>
      <c r="G304" s="1098" t="s">
        <v>1544</v>
      </c>
      <c r="H304" s="1100" t="s">
        <v>1552</v>
      </c>
      <c r="I304" s="1007" t="s">
        <v>1262</v>
      </c>
      <c r="J304" s="919" t="s">
        <v>1921</v>
      </c>
      <c r="K304" s="918"/>
      <c r="M304" s="349" t="str">
        <f t="shared" si="41"/>
        <v>○</v>
      </c>
      <c r="O304" s="156"/>
    </row>
    <row r="305" spans="1:21" ht="13.8" thickBot="1">
      <c r="A305" s="328">
        <v>305</v>
      </c>
      <c r="C305" s="916"/>
      <c r="D305" s="1092"/>
      <c r="E305" s="939"/>
      <c r="F305" s="939"/>
      <c r="G305" s="1106" t="s">
        <v>1549</v>
      </c>
      <c r="H305" s="1107" t="s">
        <v>1554</v>
      </c>
      <c r="I305" s="1007" t="s">
        <v>1262</v>
      </c>
      <c r="J305" s="919" t="s">
        <v>1921</v>
      </c>
      <c r="K305" s="918"/>
      <c r="M305" s="349" t="str">
        <f>+IF(I305="A",IF(ISBLANK(J305),"未入力あり",IF(J305="どちらでもない","×","○")),"")</f>
        <v>○</v>
      </c>
      <c r="O305" s="156"/>
    </row>
    <row r="306" spans="1:21" ht="13.8" thickBot="1">
      <c r="A306" s="328">
        <v>306</v>
      </c>
      <c r="C306" s="351"/>
      <c r="D306" s="1064" t="s">
        <v>635</v>
      </c>
      <c r="E306" s="988" t="s">
        <v>714</v>
      </c>
      <c r="F306" s="989"/>
      <c r="G306" s="989"/>
      <c r="H306" s="990"/>
      <c r="I306" s="1037"/>
      <c r="J306" s="1155"/>
      <c r="K306" s="357"/>
      <c r="O306" s="156"/>
      <c r="T306" s="49" t="s">
        <v>861</v>
      </c>
    </row>
    <row r="307" spans="1:21" ht="27" thickBot="1">
      <c r="A307" s="328">
        <v>307</v>
      </c>
      <c r="C307" s="351"/>
      <c r="D307" s="935"/>
      <c r="E307" s="931" t="s">
        <v>1353</v>
      </c>
      <c r="F307" s="933"/>
      <c r="G307" s="933"/>
      <c r="H307" s="938" t="s">
        <v>715</v>
      </c>
      <c r="I307" s="997" t="s">
        <v>1262</v>
      </c>
      <c r="J307" s="66" t="s">
        <v>1805</v>
      </c>
      <c r="K307" s="348"/>
      <c r="M307" s="349" t="str">
        <f t="shared" ref="M307" si="42">+IF(I307="A",IF(ISBLANK(J307),"未入力あり",IF(J307="はい","○","×")),"")</f>
        <v>○</v>
      </c>
      <c r="O307" s="156"/>
    </row>
    <row r="308" spans="1:21" ht="27" thickBot="1">
      <c r="A308" s="328">
        <v>308</v>
      </c>
      <c r="C308" s="351"/>
      <c r="D308" s="935"/>
      <c r="E308" s="931" t="s">
        <v>1354</v>
      </c>
      <c r="F308" s="933"/>
      <c r="G308" s="933"/>
      <c r="H308" s="938" t="s">
        <v>1624</v>
      </c>
      <c r="I308" s="997" t="s">
        <v>1262</v>
      </c>
      <c r="J308" s="327">
        <v>2</v>
      </c>
      <c r="K308" s="348" t="s">
        <v>1372</v>
      </c>
      <c r="M308" s="349" t="str">
        <f t="shared" ref="M308" si="43">+IF(I308="A",IF(ISBLANK(J308),"未入力あり",IF(J308&gt;=1,"○","×")),"")</f>
        <v>○</v>
      </c>
      <c r="O308" s="156"/>
    </row>
    <row r="309" spans="1:21" ht="13.8" thickBot="1">
      <c r="A309" s="328">
        <v>309</v>
      </c>
      <c r="C309" s="351"/>
      <c r="D309" s="935"/>
      <c r="E309" s="1068"/>
      <c r="F309" s="1045"/>
      <c r="G309" s="1069"/>
      <c r="H309" s="1041" t="s">
        <v>1373</v>
      </c>
      <c r="I309" s="995" t="s">
        <v>1364</v>
      </c>
      <c r="J309" s="327">
        <v>1</v>
      </c>
      <c r="K309" s="350"/>
      <c r="M309" s="349" t="str">
        <f t="shared" ref="M309" si="44">IF(ISBLANK(J309),"未入力あり","〇")</f>
        <v>〇</v>
      </c>
      <c r="O309" s="156"/>
      <c r="T309" s="372"/>
      <c r="U309" s="373"/>
    </row>
    <row r="310" spans="1:21" ht="13.8" thickBot="1">
      <c r="A310" s="328">
        <v>310</v>
      </c>
      <c r="C310" s="351"/>
      <c r="D310" s="935"/>
      <c r="E310" s="1068" t="s">
        <v>1355</v>
      </c>
      <c r="F310" s="1045"/>
      <c r="G310" s="1045"/>
      <c r="H310" s="970" t="s">
        <v>716</v>
      </c>
      <c r="I310" s="1007" t="s">
        <v>1262</v>
      </c>
      <c r="J310" s="66" t="s">
        <v>1805</v>
      </c>
      <c r="K310" s="379"/>
      <c r="M310" s="349" t="str">
        <f t="shared" ref="M310:M311" si="45">+IF(I310="A",IF(ISBLANK(J310),"未入力あり",IF(J310="はい","○","×")),"")</f>
        <v>○</v>
      </c>
      <c r="O310" s="156"/>
    </row>
    <row r="311" spans="1:21" ht="13.8" thickBot="1">
      <c r="A311" s="328">
        <v>311</v>
      </c>
      <c r="C311" s="351"/>
      <c r="D311" s="939"/>
      <c r="E311" s="1108" t="s">
        <v>1356</v>
      </c>
      <c r="F311" s="1060"/>
      <c r="G311" s="1060"/>
      <c r="H311" s="951" t="s">
        <v>1625</v>
      </c>
      <c r="I311" s="996" t="s">
        <v>1262</v>
      </c>
      <c r="J311" s="66" t="s">
        <v>1805</v>
      </c>
      <c r="K311" s="375"/>
      <c r="M311" s="349" t="str">
        <f t="shared" si="45"/>
        <v>○</v>
      </c>
      <c r="O311" s="156"/>
    </row>
    <row r="312" spans="1:21" ht="13.8" thickBot="1">
      <c r="A312" s="328">
        <v>312</v>
      </c>
      <c r="C312" s="351"/>
      <c r="D312" s="1064" t="s">
        <v>652</v>
      </c>
      <c r="E312" s="988" t="s">
        <v>717</v>
      </c>
      <c r="F312" s="989"/>
      <c r="G312" s="989"/>
      <c r="H312" s="990"/>
      <c r="I312" s="1037"/>
      <c r="J312" s="1155"/>
      <c r="K312" s="357"/>
      <c r="O312" s="156"/>
    </row>
    <row r="313" spans="1:21" ht="13.8" thickBot="1">
      <c r="A313" s="328">
        <v>313</v>
      </c>
      <c r="C313" s="351"/>
      <c r="D313" s="935"/>
      <c r="E313" s="931" t="s">
        <v>1353</v>
      </c>
      <c r="F313" s="933"/>
      <c r="G313" s="933"/>
      <c r="H313" s="938" t="s">
        <v>718</v>
      </c>
      <c r="I313" s="1109" t="s">
        <v>1262</v>
      </c>
      <c r="J313" s="66" t="s">
        <v>1805</v>
      </c>
      <c r="K313" s="348"/>
      <c r="M313" s="349" t="str">
        <f t="shared" ref="M313:M340" si="46">+IF(I313="A",IF(ISBLANK(J313),"未入力あり",IF(J313="はい","○","×")),"")</f>
        <v>○</v>
      </c>
      <c r="O313" s="156"/>
    </row>
    <row r="314" spans="1:21" ht="27" thickBot="1">
      <c r="A314" s="328">
        <v>314</v>
      </c>
      <c r="C314" s="351"/>
      <c r="D314" s="935"/>
      <c r="E314" s="1089"/>
      <c r="F314" s="1059"/>
      <c r="G314" s="1059"/>
      <c r="H314" s="983" t="s">
        <v>1463</v>
      </c>
      <c r="I314" s="1110" t="s">
        <v>1361</v>
      </c>
      <c r="J314" s="100" t="s">
        <v>1807</v>
      </c>
      <c r="K314" s="384"/>
      <c r="M314" s="349" t="str">
        <f t="shared" ref="M314:M330" si="47">IF(ISBLANK(J314),"未入力あり","〇")</f>
        <v>〇</v>
      </c>
      <c r="O314" s="156"/>
    </row>
    <row r="315" spans="1:21" ht="52.2" customHeight="1" thickBot="1">
      <c r="A315" s="328">
        <v>315</v>
      </c>
      <c r="C315" s="351"/>
      <c r="D315" s="935"/>
      <c r="E315" s="1089"/>
      <c r="F315" s="1059"/>
      <c r="G315" s="1059"/>
      <c r="H315" s="974" t="s">
        <v>1626</v>
      </c>
      <c r="I315" s="1111" t="s">
        <v>1374</v>
      </c>
      <c r="J315" s="66" t="s">
        <v>1804</v>
      </c>
      <c r="K315" s="982" t="s">
        <v>1462</v>
      </c>
      <c r="M315" s="349" t="str">
        <f t="shared" si="47"/>
        <v>〇</v>
      </c>
      <c r="O315" s="156"/>
    </row>
    <row r="316" spans="1:21" ht="13.8" thickBot="1">
      <c r="A316" s="328">
        <v>316</v>
      </c>
      <c r="B316" s="351"/>
      <c r="C316" s="351"/>
      <c r="D316" s="935"/>
      <c r="E316" s="1089"/>
      <c r="F316" s="1059"/>
      <c r="G316" s="1059"/>
      <c r="H316" s="1054" t="s">
        <v>719</v>
      </c>
      <c r="I316" s="1112" t="s">
        <v>565</v>
      </c>
      <c r="J316" s="66" t="s">
        <v>1805</v>
      </c>
      <c r="K316" s="404"/>
      <c r="M316" s="349" t="str">
        <f t="shared" si="47"/>
        <v>〇</v>
      </c>
      <c r="O316" s="156"/>
    </row>
    <row r="317" spans="1:21" ht="27" thickBot="1">
      <c r="A317" s="328">
        <v>317</v>
      </c>
      <c r="B317" s="351"/>
      <c r="C317" s="351"/>
      <c r="D317" s="935"/>
      <c r="E317" s="1089"/>
      <c r="F317" s="1059"/>
      <c r="G317" s="1059"/>
      <c r="H317" s="1113" t="s">
        <v>1627</v>
      </c>
      <c r="I317" s="994" t="str">
        <f>IF(J316="はい","B",IF(J316="いいえ","-","B／-"))</f>
        <v>B</v>
      </c>
      <c r="J317" s="66" t="s">
        <v>1804</v>
      </c>
      <c r="K317" s="391"/>
      <c r="M317" s="349" t="str">
        <f t="shared" si="47"/>
        <v>〇</v>
      </c>
      <c r="O317" s="156"/>
    </row>
    <row r="318" spans="1:21" ht="13.8" thickBot="1">
      <c r="A318" s="328">
        <v>318</v>
      </c>
      <c r="B318" s="351"/>
      <c r="C318" s="351"/>
      <c r="D318" s="935"/>
      <c r="E318" s="1089"/>
      <c r="F318" s="1059"/>
      <c r="G318" s="1059"/>
      <c r="H318" s="987" t="s">
        <v>1463</v>
      </c>
      <c r="I318" s="1110" t="s">
        <v>1361</v>
      </c>
      <c r="J318" s="100" t="s">
        <v>1179</v>
      </c>
      <c r="K318" s="384"/>
      <c r="M318" s="349" t="str">
        <f t="shared" si="47"/>
        <v>〇</v>
      </c>
      <c r="O318" s="156"/>
    </row>
    <row r="319" spans="1:21" ht="13.8" thickBot="1">
      <c r="A319" s="328">
        <v>319</v>
      </c>
      <c r="B319" s="351"/>
      <c r="C319" s="351"/>
      <c r="D319" s="935"/>
      <c r="E319" s="1089"/>
      <c r="F319" s="1059"/>
      <c r="G319" s="1059"/>
      <c r="H319" s="1054" t="s">
        <v>720</v>
      </c>
      <c r="I319" s="1112" t="s">
        <v>565</v>
      </c>
      <c r="J319" s="66" t="s">
        <v>1805</v>
      </c>
      <c r="K319" s="404"/>
      <c r="M319" s="349" t="str">
        <f t="shared" si="47"/>
        <v>〇</v>
      </c>
      <c r="O319" s="156"/>
    </row>
    <row r="320" spans="1:21" ht="27" thickBot="1">
      <c r="A320" s="328">
        <v>320</v>
      </c>
      <c r="B320" s="351"/>
      <c r="C320" s="351"/>
      <c r="D320" s="935"/>
      <c r="E320" s="1089"/>
      <c r="F320" s="1059"/>
      <c r="G320" s="1059"/>
      <c r="H320" s="1113" t="s">
        <v>1628</v>
      </c>
      <c r="I320" s="994" t="str">
        <f>IF(J319="はい","B",IF(J319="いいえ","-","B／-"))</f>
        <v>B</v>
      </c>
      <c r="J320" s="66" t="s">
        <v>1804</v>
      </c>
      <c r="K320" s="391"/>
      <c r="M320" s="349" t="str">
        <f t="shared" si="47"/>
        <v>〇</v>
      </c>
      <c r="O320" s="156"/>
    </row>
    <row r="321" spans="1:21" ht="13.8" thickBot="1">
      <c r="A321" s="328">
        <v>321</v>
      </c>
      <c r="B321" s="351"/>
      <c r="C321" s="351"/>
      <c r="D321" s="935"/>
      <c r="E321" s="1089"/>
      <c r="F321" s="1059"/>
      <c r="G321" s="1059"/>
      <c r="H321" s="987" t="s">
        <v>1463</v>
      </c>
      <c r="I321" s="1110" t="s">
        <v>1361</v>
      </c>
      <c r="J321" s="100" t="s">
        <v>1179</v>
      </c>
      <c r="K321" s="384"/>
      <c r="M321" s="349" t="str">
        <f t="shared" si="47"/>
        <v>〇</v>
      </c>
      <c r="O321" s="156"/>
    </row>
    <row r="322" spans="1:21" ht="13.8" thickBot="1">
      <c r="A322" s="328">
        <v>322</v>
      </c>
      <c r="B322" s="351"/>
      <c r="C322" s="351"/>
      <c r="D322" s="935"/>
      <c r="E322" s="1089"/>
      <c r="F322" s="1059"/>
      <c r="G322" s="407"/>
      <c r="H322" s="405" t="s">
        <v>721</v>
      </c>
      <c r="I322" s="421" t="s">
        <v>565</v>
      </c>
      <c r="J322" s="66" t="s">
        <v>1805</v>
      </c>
      <c r="K322" s="404"/>
      <c r="M322" s="349" t="str">
        <f t="shared" si="47"/>
        <v>〇</v>
      </c>
      <c r="O322" s="156"/>
    </row>
    <row r="323" spans="1:21" ht="27" thickBot="1">
      <c r="A323" s="328">
        <v>323</v>
      </c>
      <c r="B323" s="351"/>
      <c r="C323" s="351"/>
      <c r="D323" s="935"/>
      <c r="E323" s="1089"/>
      <c r="F323" s="1059"/>
      <c r="G323" s="407"/>
      <c r="H323" s="1113" t="s">
        <v>1629</v>
      </c>
      <c r="I323" s="994" t="str">
        <f>IF(J322="はい","B",IF(J322="いいえ","-","B／-"))</f>
        <v>B</v>
      </c>
      <c r="J323" s="1014" t="s">
        <v>1804</v>
      </c>
      <c r="K323" s="1113"/>
      <c r="M323" s="349" t="str">
        <f t="shared" si="47"/>
        <v>〇</v>
      </c>
      <c r="O323" s="156"/>
    </row>
    <row r="324" spans="1:21" ht="13.8" thickBot="1">
      <c r="A324" s="328">
        <v>324</v>
      </c>
      <c r="B324" s="351"/>
      <c r="C324" s="351"/>
      <c r="D324" s="935"/>
      <c r="E324" s="1089"/>
      <c r="F324" s="1059"/>
      <c r="G324" s="407"/>
      <c r="H324" s="987" t="s">
        <v>1463</v>
      </c>
      <c r="I324" s="1110" t="s">
        <v>1361</v>
      </c>
      <c r="J324" s="100" t="s">
        <v>1179</v>
      </c>
      <c r="K324" s="1023"/>
      <c r="M324" s="349" t="str">
        <f t="shared" si="47"/>
        <v>〇</v>
      </c>
      <c r="O324" s="156"/>
    </row>
    <row r="325" spans="1:21" ht="13.8" thickBot="1">
      <c r="A325" s="328">
        <v>325</v>
      </c>
      <c r="B325" s="351"/>
      <c r="C325" s="351"/>
      <c r="D325" s="935"/>
      <c r="E325" s="1089"/>
      <c r="F325" s="1059"/>
      <c r="G325" s="407"/>
      <c r="H325" s="1054" t="s">
        <v>1630</v>
      </c>
      <c r="I325" s="1112" t="s">
        <v>565</v>
      </c>
      <c r="J325" s="1014" t="s">
        <v>1805</v>
      </c>
      <c r="K325" s="1032"/>
      <c r="M325" s="349" t="str">
        <f t="shared" si="47"/>
        <v>〇</v>
      </c>
      <c r="O325" s="156"/>
    </row>
    <row r="326" spans="1:21" ht="27" thickBot="1">
      <c r="A326" s="328">
        <v>326</v>
      </c>
      <c r="B326" s="351"/>
      <c r="C326" s="351"/>
      <c r="D326" s="935"/>
      <c r="E326" s="1089"/>
      <c r="F326" s="1059"/>
      <c r="G326" s="407"/>
      <c r="H326" s="1113" t="s">
        <v>1631</v>
      </c>
      <c r="I326" s="994" t="str">
        <f>IF(J325="はい","B",IF(J325="いいえ","-","B／-"))</f>
        <v>B</v>
      </c>
      <c r="J326" s="1014" t="s">
        <v>1804</v>
      </c>
      <c r="K326" s="1113"/>
      <c r="M326" s="349" t="str">
        <f t="shared" si="47"/>
        <v>〇</v>
      </c>
      <c r="O326" s="156"/>
    </row>
    <row r="327" spans="1:21" ht="13.8" thickBot="1">
      <c r="A327" s="328">
        <v>327</v>
      </c>
      <c r="B327" s="351"/>
      <c r="C327" s="351"/>
      <c r="D327" s="935"/>
      <c r="E327" s="1089"/>
      <c r="F327" s="1059"/>
      <c r="G327" s="407"/>
      <c r="H327" s="987" t="s">
        <v>1463</v>
      </c>
      <c r="I327" s="1110" t="s">
        <v>1361</v>
      </c>
      <c r="J327" s="100" t="s">
        <v>1179</v>
      </c>
      <c r="K327" s="1023"/>
      <c r="M327" s="349" t="str">
        <f t="shared" si="47"/>
        <v>〇</v>
      </c>
      <c r="O327" s="156"/>
    </row>
    <row r="328" spans="1:21" ht="13.8" thickBot="1">
      <c r="A328" s="328">
        <v>328</v>
      </c>
      <c r="B328" s="351"/>
      <c r="C328" s="351"/>
      <c r="D328" s="935"/>
      <c r="E328" s="1089"/>
      <c r="F328" s="1059"/>
      <c r="G328" s="407"/>
      <c r="H328" s="1054" t="s">
        <v>722</v>
      </c>
      <c r="I328" s="1112" t="s">
        <v>565</v>
      </c>
      <c r="J328" s="1014" t="s">
        <v>1805</v>
      </c>
      <c r="K328" s="1032"/>
      <c r="M328" s="349" t="str">
        <f t="shared" si="47"/>
        <v>〇</v>
      </c>
      <c r="O328" s="156"/>
    </row>
    <row r="329" spans="1:21" ht="27" thickBot="1">
      <c r="A329" s="328">
        <v>329</v>
      </c>
      <c r="B329" s="351"/>
      <c r="C329" s="351"/>
      <c r="D329" s="935"/>
      <c r="E329" s="1089"/>
      <c r="F329" s="1059"/>
      <c r="G329" s="407"/>
      <c r="H329" s="1113" t="s">
        <v>1632</v>
      </c>
      <c r="I329" s="994" t="str">
        <f>IF(J328="はい","B",IF(J328="いいえ","-","B／-"))</f>
        <v>B</v>
      </c>
      <c r="J329" s="1014" t="s">
        <v>1805</v>
      </c>
      <c r="K329" s="1113"/>
      <c r="M329" s="349" t="str">
        <f t="shared" si="47"/>
        <v>〇</v>
      </c>
      <c r="O329" s="156"/>
    </row>
    <row r="330" spans="1:21" ht="27" thickBot="1">
      <c r="A330" s="328">
        <v>330</v>
      </c>
      <c r="B330" s="351"/>
      <c r="C330" s="351"/>
      <c r="D330" s="935"/>
      <c r="E330" s="1089"/>
      <c r="F330" s="1059"/>
      <c r="G330" s="407"/>
      <c r="H330" s="987" t="s">
        <v>1463</v>
      </c>
      <c r="I330" s="1110" t="s">
        <v>1361</v>
      </c>
      <c r="J330" s="100" t="s">
        <v>1807</v>
      </c>
      <c r="K330" s="1023"/>
      <c r="M330" s="349" t="str">
        <f t="shared" si="47"/>
        <v>〇</v>
      </c>
      <c r="O330" s="156"/>
    </row>
    <row r="331" spans="1:21" ht="13.8" thickBot="1">
      <c r="A331" s="328">
        <v>331</v>
      </c>
      <c r="C331" s="351"/>
      <c r="D331" s="935"/>
      <c r="E331" s="1089"/>
      <c r="F331" s="1059"/>
      <c r="G331" s="407"/>
      <c r="H331" s="941" t="s">
        <v>723</v>
      </c>
      <c r="I331" s="1114" t="s">
        <v>1262</v>
      </c>
      <c r="J331" s="1014" t="s">
        <v>1805</v>
      </c>
      <c r="K331" s="1029"/>
      <c r="M331" s="349" t="str">
        <f t="shared" si="46"/>
        <v>○</v>
      </c>
      <c r="O331" s="156"/>
    </row>
    <row r="332" spans="1:21" ht="13.8" thickBot="1">
      <c r="A332" s="328">
        <v>332</v>
      </c>
      <c r="C332" s="351"/>
      <c r="D332" s="935"/>
      <c r="E332" s="931" t="s">
        <v>1354</v>
      </c>
      <c r="F332" s="933"/>
      <c r="G332" s="358"/>
      <c r="H332" s="938" t="s">
        <v>724</v>
      </c>
      <c r="I332" s="1109" t="s">
        <v>1262</v>
      </c>
      <c r="J332" s="1014" t="s">
        <v>1805</v>
      </c>
      <c r="K332" s="1030"/>
      <c r="M332" s="349" t="str">
        <f t="shared" si="46"/>
        <v>○</v>
      </c>
      <c r="O332" s="156"/>
    </row>
    <row r="333" spans="1:21" ht="27" thickBot="1">
      <c r="A333" s="328">
        <v>333</v>
      </c>
      <c r="C333" s="351"/>
      <c r="D333" s="935"/>
      <c r="E333" s="1089"/>
      <c r="F333" s="1059"/>
      <c r="G333" s="407"/>
      <c r="H333" s="941" t="s">
        <v>1375</v>
      </c>
      <c r="I333" s="1115" t="s">
        <v>1262</v>
      </c>
      <c r="J333" s="1014" t="s">
        <v>1805</v>
      </c>
      <c r="K333" s="1026"/>
      <c r="M333" s="349" t="str">
        <f t="shared" si="46"/>
        <v>○</v>
      </c>
      <c r="O333" s="156"/>
    </row>
    <row r="334" spans="1:21" ht="13.8" thickBot="1">
      <c r="A334" s="328">
        <v>334</v>
      </c>
      <c r="C334" s="351"/>
      <c r="D334" s="935"/>
      <c r="E334" s="931" t="s">
        <v>1355</v>
      </c>
      <c r="F334" s="933"/>
      <c r="G334" s="358"/>
      <c r="H334" s="938" t="s">
        <v>725</v>
      </c>
      <c r="I334" s="1116" t="s">
        <v>1262</v>
      </c>
      <c r="J334" s="1014" t="s">
        <v>1805</v>
      </c>
      <c r="K334" s="1015"/>
      <c r="M334" s="349" t="str">
        <f>+IF(I334="A",IF(ISBLANK(J334),"未入力あり",IF(J334="はい","○","×")),"")</f>
        <v>○</v>
      </c>
      <c r="O334" s="156"/>
    </row>
    <row r="335" spans="1:21" ht="40.200000000000003" thickBot="1">
      <c r="A335" s="328">
        <v>335</v>
      </c>
      <c r="C335" s="351"/>
      <c r="D335" s="935"/>
      <c r="E335" s="1068"/>
      <c r="F335" s="1045"/>
      <c r="G335" s="419"/>
      <c r="H335" s="960" t="s">
        <v>1376</v>
      </c>
      <c r="I335" s="1117" t="s">
        <v>565</v>
      </c>
      <c r="J335" s="1034">
        <v>2</v>
      </c>
      <c r="K335" s="1118" t="s">
        <v>1734</v>
      </c>
      <c r="M335" s="349" t="str">
        <f>IF(ISBLANK(J335),"未入力あり","〇")</f>
        <v>〇</v>
      </c>
      <c r="O335" s="156"/>
    </row>
    <row r="336" spans="1:21" ht="13.8" thickBot="1">
      <c r="A336" s="328">
        <v>336</v>
      </c>
      <c r="C336" s="351"/>
      <c r="D336" s="935"/>
      <c r="E336" s="931" t="s">
        <v>1356</v>
      </c>
      <c r="F336" s="933"/>
      <c r="G336" s="358"/>
      <c r="H336" s="938" t="s">
        <v>726</v>
      </c>
      <c r="I336" s="1109" t="s">
        <v>1262</v>
      </c>
      <c r="J336" s="1014" t="s">
        <v>1805</v>
      </c>
      <c r="K336" s="1015"/>
      <c r="M336" s="349" t="str">
        <f t="shared" si="46"/>
        <v>○</v>
      </c>
      <c r="O336" s="156"/>
      <c r="T336" s="372"/>
      <c r="U336" s="373"/>
    </row>
    <row r="337" spans="1:21" ht="27" thickBot="1">
      <c r="A337" s="328">
        <v>337</v>
      </c>
      <c r="C337" s="351"/>
      <c r="D337" s="935"/>
      <c r="E337" s="1068"/>
      <c r="F337" s="1045"/>
      <c r="G337" s="419"/>
      <c r="H337" s="1041" t="s">
        <v>1463</v>
      </c>
      <c r="I337" s="1110" t="s">
        <v>1377</v>
      </c>
      <c r="J337" s="100" t="s">
        <v>1807</v>
      </c>
      <c r="K337" s="1012"/>
      <c r="M337" s="349" t="str">
        <f>IF(ISBLANK(J337),"未入力あり","〇")</f>
        <v>〇</v>
      </c>
      <c r="O337" s="156"/>
      <c r="T337" s="372"/>
      <c r="U337" s="373"/>
    </row>
    <row r="338" spans="1:21" ht="27" thickBot="1">
      <c r="A338" s="328">
        <v>338</v>
      </c>
      <c r="C338" s="351"/>
      <c r="D338" s="935"/>
      <c r="E338" s="1068" t="s">
        <v>1357</v>
      </c>
      <c r="F338" s="1045"/>
      <c r="G338" s="408"/>
      <c r="H338" s="970" t="s">
        <v>727</v>
      </c>
      <c r="I338" s="1114" t="s">
        <v>1262</v>
      </c>
      <c r="J338" s="1014" t="s">
        <v>1805</v>
      </c>
      <c r="K338" s="1012" t="s">
        <v>728</v>
      </c>
      <c r="M338" s="349" t="str">
        <f>+IF(I338="A",IF(ISBLANK(J338),"未入力あり",IF(J338="はい","○","×")),"")</f>
        <v>○</v>
      </c>
      <c r="O338" s="156"/>
    </row>
    <row r="339" spans="1:21" ht="27" thickBot="1">
      <c r="A339" s="328">
        <v>339</v>
      </c>
      <c r="C339" s="351"/>
      <c r="D339" s="935"/>
      <c r="E339" s="1089" t="s">
        <v>1358</v>
      </c>
      <c r="F339" s="1059"/>
      <c r="G339" s="407"/>
      <c r="H339" s="981" t="s">
        <v>729</v>
      </c>
      <c r="I339" s="1119" t="s">
        <v>1262</v>
      </c>
      <c r="J339" s="1014" t="s">
        <v>1805</v>
      </c>
      <c r="K339" s="1023"/>
      <c r="M339" s="349" t="str">
        <f t="shared" si="46"/>
        <v>○</v>
      </c>
      <c r="O339" s="156"/>
    </row>
    <row r="340" spans="1:21" ht="27" thickBot="1">
      <c r="A340" s="328">
        <v>340</v>
      </c>
      <c r="C340" s="364"/>
      <c r="D340" s="939"/>
      <c r="E340" s="1068"/>
      <c r="F340" s="1045"/>
      <c r="G340" s="408"/>
      <c r="H340" s="941" t="s">
        <v>730</v>
      </c>
      <c r="I340" s="1115" t="s">
        <v>1262</v>
      </c>
      <c r="J340" s="1014" t="s">
        <v>1805</v>
      </c>
      <c r="K340" s="1026"/>
      <c r="M340" s="349" t="str">
        <f t="shared" si="46"/>
        <v>○</v>
      </c>
      <c r="O340" s="156"/>
    </row>
    <row r="341" spans="1:21" ht="13.8" thickBot="1">
      <c r="A341" s="328">
        <v>341</v>
      </c>
      <c r="C341" s="991">
        <v>5</v>
      </c>
      <c r="D341" s="343" t="s">
        <v>731</v>
      </c>
      <c r="E341" s="344"/>
      <c r="F341" s="344"/>
      <c r="G341" s="344"/>
      <c r="H341" s="345"/>
      <c r="I341" s="346"/>
      <c r="J341" s="1159"/>
      <c r="K341" s="347"/>
      <c r="O341" s="156"/>
    </row>
    <row r="342" spans="1:21" ht="13.8" thickBot="1">
      <c r="A342" s="328">
        <v>342</v>
      </c>
      <c r="C342" s="935"/>
      <c r="D342" s="1072" t="s">
        <v>671</v>
      </c>
      <c r="E342" s="989"/>
      <c r="F342" s="354"/>
      <c r="G342" s="354"/>
      <c r="H342" s="362" t="s">
        <v>732</v>
      </c>
      <c r="I342" s="420" t="s">
        <v>1262</v>
      </c>
      <c r="J342" s="66" t="s">
        <v>1805</v>
      </c>
      <c r="K342" s="348"/>
      <c r="M342" s="349" t="str">
        <f t="shared" ref="M342" si="48">+IF(I342="A",IF(ISBLANK(J342),"未入力あり",IF(J342="はい","○","×")),"")</f>
        <v>○</v>
      </c>
      <c r="O342" s="156"/>
    </row>
    <row r="343" spans="1:21" ht="13.8" thickBot="1">
      <c r="A343" s="328">
        <v>343</v>
      </c>
      <c r="C343" s="935"/>
      <c r="D343" s="1072" t="s">
        <v>674</v>
      </c>
      <c r="E343" s="989"/>
      <c r="F343" s="354"/>
      <c r="G343" s="354"/>
      <c r="H343" s="362" t="s">
        <v>733</v>
      </c>
      <c r="I343" s="420"/>
      <c r="J343" s="1164"/>
      <c r="K343" s="348" t="s">
        <v>734</v>
      </c>
      <c r="O343" s="156"/>
    </row>
    <row r="344" spans="1:21" ht="13.8" thickBot="1">
      <c r="A344" s="328">
        <v>344</v>
      </c>
      <c r="C344" s="935"/>
      <c r="D344" s="1073"/>
      <c r="E344" s="1074"/>
      <c r="F344" s="411"/>
      <c r="G344" s="411"/>
      <c r="H344" s="422" t="s">
        <v>735</v>
      </c>
      <c r="I344" s="423" t="s">
        <v>565</v>
      </c>
      <c r="J344" s="66" t="s">
        <v>1805</v>
      </c>
      <c r="K344" s="412"/>
      <c r="M344" s="349" t="str">
        <f>+IF(ISBLANK(J344),"未入力あり","〇")</f>
        <v>〇</v>
      </c>
      <c r="O344" s="156"/>
    </row>
    <row r="345" spans="1:21" ht="13.8" thickBot="1">
      <c r="A345" s="328">
        <v>345</v>
      </c>
      <c r="C345" s="935"/>
      <c r="D345" s="1073"/>
      <c r="E345" s="1074"/>
      <c r="F345" s="411"/>
      <c r="G345" s="411"/>
      <c r="H345" s="1085" t="s">
        <v>736</v>
      </c>
      <c r="I345" s="994" t="str">
        <f>IF(J344="はい","C",IF(J344="いいえ","-","C/-"))</f>
        <v>C</v>
      </c>
      <c r="J345" s="1014" t="s">
        <v>1805</v>
      </c>
      <c r="K345" s="1120" t="s">
        <v>1778</v>
      </c>
      <c r="M345" s="349" t="str">
        <f>+IF(ISBLANK(J345),"未入力あり","〇")</f>
        <v>〇</v>
      </c>
      <c r="O345" s="156"/>
    </row>
    <row r="346" spans="1:21" ht="13.8" thickBot="1">
      <c r="A346" s="328">
        <v>346</v>
      </c>
      <c r="C346" s="935"/>
      <c r="D346" s="1073"/>
      <c r="E346" s="1074"/>
      <c r="F346" s="411"/>
      <c r="G346" s="411"/>
      <c r="H346" s="1077" t="s">
        <v>737</v>
      </c>
      <c r="I346" s="994" t="str">
        <f>IF(J344="はい","C",IF(J344="いいえ","-","C/-"))</f>
        <v>C</v>
      </c>
      <c r="J346" s="1034">
        <v>1</v>
      </c>
      <c r="K346" s="1120" t="s">
        <v>1778</v>
      </c>
      <c r="M346" s="349" t="str">
        <f>+IF(ISBLANK(J346),"未入力あり","〇")</f>
        <v>〇</v>
      </c>
      <c r="O346" s="156"/>
      <c r="T346" s="372"/>
      <c r="U346" s="373"/>
    </row>
    <row r="347" spans="1:21" ht="13.8" thickBot="1">
      <c r="A347" s="328">
        <v>347</v>
      </c>
      <c r="C347" s="935"/>
      <c r="D347" s="1073"/>
      <c r="E347" s="1074"/>
      <c r="F347" s="411"/>
      <c r="G347" s="411"/>
      <c r="H347" s="981" t="s">
        <v>738</v>
      </c>
      <c r="I347" s="1119"/>
      <c r="J347" s="1165"/>
      <c r="K347" s="982"/>
      <c r="O347" s="156"/>
    </row>
    <row r="348" spans="1:21" ht="13.8" thickBot="1">
      <c r="A348" s="328">
        <v>348</v>
      </c>
      <c r="C348" s="935"/>
      <c r="D348" s="1073"/>
      <c r="E348" s="1074"/>
      <c r="F348" s="411"/>
      <c r="G348" s="411"/>
      <c r="H348" s="1121" t="s">
        <v>739</v>
      </c>
      <c r="I348" s="1122" t="s">
        <v>565</v>
      </c>
      <c r="J348" s="1014" t="s">
        <v>1805</v>
      </c>
      <c r="K348" s="1090"/>
      <c r="M348" s="349" t="str">
        <f>IF(ISBLANK(J348),"未入力あり","〇")</f>
        <v>〇</v>
      </c>
      <c r="O348" s="156"/>
    </row>
    <row r="349" spans="1:21" ht="13.8" thickBot="1">
      <c r="A349" s="328">
        <v>349</v>
      </c>
      <c r="C349" s="935"/>
      <c r="D349" s="1073"/>
      <c r="E349" s="1074"/>
      <c r="F349" s="411"/>
      <c r="G349" s="411"/>
      <c r="H349" s="1077" t="s">
        <v>740</v>
      </c>
      <c r="I349" s="994" t="str">
        <f>IF(J348="はい","A",IF(J348="いいえ","-","A/-"))</f>
        <v>A</v>
      </c>
      <c r="J349" s="1014" t="s">
        <v>1805</v>
      </c>
      <c r="K349" s="1118" t="s">
        <v>1777</v>
      </c>
      <c r="M349" s="872" t="str">
        <f>+IF(I349="A",IF(ISBLANK(J349),"未入力あり",IF(J349&gt;=1,"○","×")),"")</f>
        <v>○</v>
      </c>
      <c r="O349" s="156"/>
    </row>
    <row r="350" spans="1:21" ht="13.8" thickBot="1">
      <c r="A350" s="328">
        <v>350</v>
      </c>
      <c r="C350" s="935"/>
      <c r="D350" s="1073"/>
      <c r="E350" s="1074"/>
      <c r="F350" s="411"/>
      <c r="G350" s="411"/>
      <c r="H350" s="1023" t="s">
        <v>1378</v>
      </c>
      <c r="I350" s="1022" t="str">
        <f>IF(OR(J344="はい",J348="はい"),"A",IF(AND(J344="いいえ",J348="いいえ"),"-","A/-"))</f>
        <v>A</v>
      </c>
      <c r="J350" s="1014" t="s">
        <v>1805</v>
      </c>
      <c r="K350" s="1123" t="s">
        <v>1776</v>
      </c>
      <c r="M350" s="872" t="str">
        <f t="shared" ref="M350" si="49">+IF(I350="A",IF(ISBLANK(J350),"未入力あり",IF(J350&gt;=1,"○","×")),"")</f>
        <v>○</v>
      </c>
      <c r="O350" s="156"/>
    </row>
    <row r="351" spans="1:21" ht="21" customHeight="1" thickBot="1">
      <c r="A351" s="328">
        <v>351</v>
      </c>
      <c r="C351" s="939"/>
      <c r="D351" s="1081"/>
      <c r="E351" s="1082"/>
      <c r="F351" s="417"/>
      <c r="G351" s="417"/>
      <c r="H351" s="1041" t="s">
        <v>1379</v>
      </c>
      <c r="I351" s="1115" t="s">
        <v>1377</v>
      </c>
      <c r="J351" s="100" t="s">
        <v>1807</v>
      </c>
      <c r="K351" s="1026"/>
      <c r="M351" s="349" t="str">
        <f>IF(ISBLANK(J351),"未入力あり","〇")</f>
        <v>〇</v>
      </c>
      <c r="O351" s="156"/>
    </row>
    <row r="352" spans="1:21" ht="13.8" thickBot="1">
      <c r="A352" s="328">
        <v>352</v>
      </c>
      <c r="C352" s="991">
        <v>6</v>
      </c>
      <c r="D352" s="1061" t="s">
        <v>741</v>
      </c>
      <c r="E352" s="1062"/>
      <c r="F352" s="344"/>
      <c r="G352" s="344"/>
      <c r="H352" s="345"/>
      <c r="I352" s="346"/>
      <c r="J352" s="1159"/>
      <c r="K352" s="347"/>
      <c r="O352" s="156"/>
    </row>
    <row r="353" spans="1:15" ht="27" thickBot="1">
      <c r="A353" s="328">
        <v>353</v>
      </c>
      <c r="C353" s="351"/>
      <c r="D353" s="409" t="s">
        <v>671</v>
      </c>
      <c r="E353" s="354"/>
      <c r="F353" s="354"/>
      <c r="G353" s="354"/>
      <c r="H353" s="362" t="s">
        <v>742</v>
      </c>
      <c r="I353" s="363" t="s">
        <v>1262</v>
      </c>
      <c r="J353" s="66" t="s">
        <v>1805</v>
      </c>
      <c r="K353" s="348"/>
      <c r="M353" s="349" t="str">
        <f>+IF(I353="A",IF(ISBLANK(J353),"未入力あり",IF(J353="はい","○","×")),"")</f>
        <v>○</v>
      </c>
      <c r="O353" s="156"/>
    </row>
    <row r="354" spans="1:15" ht="13.8" thickBot="1">
      <c r="A354" s="328">
        <v>354</v>
      </c>
      <c r="C354" s="351"/>
      <c r="D354" s="410"/>
      <c r="E354" s="411"/>
      <c r="F354" s="411"/>
      <c r="G354" s="411"/>
      <c r="H354" s="941" t="s">
        <v>743</v>
      </c>
      <c r="I354" s="1009" t="s">
        <v>1262</v>
      </c>
      <c r="J354" s="1014" t="s">
        <v>1805</v>
      </c>
      <c r="K354" s="1026"/>
      <c r="M354" s="349" t="str">
        <f>+IF(I354="A",IF(ISBLANK(J354),"未入力あり",IF(J354="はい","○","×")),"")</f>
        <v>○</v>
      </c>
      <c r="O354" s="156"/>
    </row>
    <row r="355" spans="1:15" ht="13.8" thickBot="1">
      <c r="A355" s="328">
        <v>355</v>
      </c>
      <c r="C355" s="351"/>
      <c r="D355" s="414" t="s">
        <v>674</v>
      </c>
      <c r="E355" s="415"/>
      <c r="F355" s="415"/>
      <c r="G355" s="415"/>
      <c r="H355" s="951" t="s">
        <v>744</v>
      </c>
      <c r="I355" s="996" t="s">
        <v>1262</v>
      </c>
      <c r="J355" s="1014" t="s">
        <v>1805</v>
      </c>
      <c r="K355" s="1015" t="s">
        <v>1633</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1380</v>
      </c>
      <c r="J356" s="1014" t="s">
        <v>1805</v>
      </c>
      <c r="K356" s="1016" t="s">
        <v>1634</v>
      </c>
      <c r="M356" s="349" t="str">
        <f t="shared" ref="M356:M357" si="50">IF(ISBLANK(J356),"未入力あり","〇")</f>
        <v>〇</v>
      </c>
      <c r="O356" s="156"/>
    </row>
    <row r="357" spans="1:15" ht="42.75" customHeight="1" thickBot="1">
      <c r="A357" s="328">
        <v>357</v>
      </c>
      <c r="C357" s="351"/>
      <c r="D357" s="410"/>
      <c r="E357" s="411"/>
      <c r="F357" s="411"/>
      <c r="G357" s="411"/>
      <c r="H357" s="1124" t="s">
        <v>1732</v>
      </c>
      <c r="I357" s="1125" t="s">
        <v>565</v>
      </c>
      <c r="J357" s="1205" t="s">
        <v>1809</v>
      </c>
      <c r="K357" s="1126" t="s">
        <v>1633</v>
      </c>
      <c r="M357" s="349" t="str">
        <f t="shared" si="50"/>
        <v>〇</v>
      </c>
      <c r="O357" s="156"/>
    </row>
    <row r="358" spans="1:15" ht="13.8" thickBot="1">
      <c r="A358" s="328">
        <v>358</v>
      </c>
      <c r="C358" s="351"/>
      <c r="D358" s="416"/>
      <c r="E358" s="417"/>
      <c r="F358" s="417"/>
      <c r="G358" s="418"/>
      <c r="H358" s="960" t="s">
        <v>1733</v>
      </c>
      <c r="I358" s="1127" t="s">
        <v>565</v>
      </c>
      <c r="J358" s="1240">
        <v>44323</v>
      </c>
      <c r="K358" s="1128" t="s">
        <v>1633</v>
      </c>
      <c r="M358" s="872" t="str">
        <f>+IF(J356="はい",IF(ISBLANK(J358),"未入力あり",IF(J356="はい","○","×")),"")</f>
        <v>○</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9" scale="41"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4" sqref="B4:B7"/>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24">
        <v>1502</v>
      </c>
      <c r="C4" s="440" t="s">
        <v>1636</v>
      </c>
      <c r="F4" s="440"/>
    </row>
    <row r="5" spans="1:6">
      <c r="A5" t="s">
        <v>444</v>
      </c>
      <c r="B5" s="424">
        <v>6100</v>
      </c>
      <c r="C5" t="s">
        <v>1514</v>
      </c>
    </row>
    <row r="6" spans="1:6" ht="13.8" thickBot="1">
      <c r="A6" t="s">
        <v>751</v>
      </c>
      <c r="B6" s="80">
        <f>IFERROR(B5*12,"")</f>
        <v>73200</v>
      </c>
      <c r="C6" t="s">
        <v>752</v>
      </c>
    </row>
    <row r="7" spans="1:6" ht="13.8" thickBot="1">
      <c r="A7" t="s">
        <v>753</v>
      </c>
      <c r="B7" s="81">
        <f>IFERROR(B4/B6,"")</f>
        <v>2.0519125683060108E-2</v>
      </c>
      <c r="C7" t="s">
        <v>754</v>
      </c>
    </row>
    <row r="10" spans="1:6">
      <c r="A10" s="440" t="s">
        <v>1516</v>
      </c>
    </row>
    <row r="11" spans="1:6">
      <c r="A11" t="s">
        <v>1515</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2"/>
  <cols>
    <col min="1" max="1" width="3.6640625" style="426" customWidth="1"/>
    <col min="2" max="2" width="9.77734375" style="426" customWidth="1"/>
    <col min="3" max="3" width="64.88671875" style="426" customWidth="1"/>
    <col min="4" max="4" width="76.6640625" style="426" customWidth="1"/>
    <col min="5" max="5" width="54.6640625" style="426" customWidth="1"/>
    <col min="6" max="6" width="6" style="426" customWidth="1"/>
    <col min="7" max="7" width="6" style="425" hidden="1" customWidth="1"/>
    <col min="8" max="8" width="2.6640625" style="426" customWidth="1"/>
    <col min="9" max="9" width="2.21875" style="49" customWidth="1"/>
    <col min="10" max="10" width="80.6640625" style="332" customWidth="1"/>
    <col min="11" max="16384" width="9" style="426"/>
  </cols>
  <sheetData>
    <row r="1" spans="1:10" ht="20.25" customHeight="1" thickBot="1">
      <c r="A1" s="1322" t="s">
        <v>755</v>
      </c>
      <c r="B1" s="1323"/>
      <c r="C1" s="1323"/>
      <c r="D1" s="1323"/>
      <c r="E1" s="1323"/>
      <c r="F1" s="1323"/>
      <c r="I1" s="83"/>
      <c r="J1" s="85"/>
    </row>
    <row r="2" spans="1:10" ht="24.9" customHeight="1" thickTop="1" thickBot="1">
      <c r="A2" s="1324" t="s">
        <v>756</v>
      </c>
      <c r="B2" s="1268"/>
      <c r="C2" s="1268"/>
      <c r="D2" s="1268"/>
      <c r="E2" s="1268"/>
      <c r="F2" s="427" t="str">
        <f>IF(COUNTIF(G:G,"未入力")&gt;=1,"未入力",IF(COUNTIF(G:G,"入力済")=0,"不要","入力済"))</f>
        <v>不要</v>
      </c>
      <c r="G2" s="1333"/>
      <c r="H2" s="1330"/>
      <c r="I2" s="104"/>
    </row>
    <row r="3" spans="1:10" ht="5.0999999999999996" customHeight="1" thickTop="1">
      <c r="G3" s="1333"/>
      <c r="H3" s="1330"/>
      <c r="I3" s="428"/>
      <c r="J3" s="429"/>
    </row>
    <row r="4" spans="1:10" ht="20.100000000000001" customHeight="1">
      <c r="D4" s="430" t="s">
        <v>757</v>
      </c>
      <c r="E4" s="1325" t="str">
        <f>表紙!E2</f>
        <v>公益財団法人　日本生命済生会　日本生命病院</v>
      </c>
      <c r="F4" s="1326"/>
      <c r="G4" s="1333"/>
      <c r="H4" s="1330"/>
      <c r="I4" s="431"/>
      <c r="J4" s="177" t="s">
        <v>234</v>
      </c>
    </row>
    <row r="5" spans="1:10" ht="20.100000000000001" customHeight="1">
      <c r="D5" s="430" t="s">
        <v>911</v>
      </c>
      <c r="E5" t="s">
        <v>1723</v>
      </c>
      <c r="F5"/>
      <c r="J5" s="74"/>
    </row>
    <row r="6" spans="1:10" ht="54" customHeight="1">
      <c r="A6" s="1327" t="s">
        <v>1724</v>
      </c>
      <c r="B6" s="1327"/>
      <c r="C6" s="1327"/>
      <c r="D6" s="1327"/>
      <c r="E6" s="1327"/>
      <c r="F6" s="1327"/>
      <c r="J6" s="74"/>
    </row>
    <row r="7" spans="1:10" ht="30" customHeight="1" thickBot="1">
      <c r="A7" s="432"/>
      <c r="B7" s="433" t="s">
        <v>758</v>
      </c>
      <c r="C7" s="434" t="s">
        <v>1737</v>
      </c>
      <c r="D7" s="435" t="s">
        <v>759</v>
      </c>
      <c r="E7" s="1328" t="s">
        <v>760</v>
      </c>
      <c r="F7" s="1329"/>
      <c r="J7" s="74"/>
    </row>
    <row r="8" spans="1:10" customFormat="1" ht="62.25" customHeight="1" thickBot="1">
      <c r="A8" s="436" t="s">
        <v>761</v>
      </c>
      <c r="B8" s="437">
        <v>126</v>
      </c>
      <c r="C8" s="438" t="s">
        <v>1571</v>
      </c>
      <c r="D8" s="439" t="s">
        <v>1735</v>
      </c>
      <c r="E8" s="1331" t="s">
        <v>1736</v>
      </c>
      <c r="F8" s="1332"/>
      <c r="G8" s="440"/>
      <c r="I8" s="49"/>
      <c r="J8" s="74"/>
    </row>
    <row r="9" spans="1:10" customFormat="1" ht="62.25" customHeight="1" thickBot="1">
      <c r="A9" s="441">
        <v>1</v>
      </c>
      <c r="B9" s="1234"/>
      <c r="C9" s="438" t="str">
        <f>+IFERROR(VLOOKUP($B9,'様式４(機能別)'!$A:$K,8,0),"")</f>
        <v/>
      </c>
      <c r="D9" s="105"/>
      <c r="E9" s="1320"/>
      <c r="F9" s="1321"/>
      <c r="G9" s="442" t="str">
        <f>IF(B9&lt;&gt;"",IF(AND(D9&lt;&gt;"",E9&lt;&gt;""),"入力済","未入力"),"不要")</f>
        <v>不要</v>
      </c>
      <c r="I9" s="49"/>
      <c r="J9" s="74"/>
    </row>
    <row r="10" spans="1:10" ht="62.25" customHeight="1" thickBot="1">
      <c r="A10" s="441">
        <v>2</v>
      </c>
      <c r="B10" s="77"/>
      <c r="C10" s="439" t="str">
        <f>+IFERROR(VLOOKUP($B10,'様式４(機能別)'!$A:$K,8,0),"")</f>
        <v/>
      </c>
      <c r="D10" s="105"/>
      <c r="E10" s="1320"/>
      <c r="F10" s="1321"/>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20"/>
      <c r="F11" s="1321"/>
      <c r="G11" s="442" t="str">
        <f>IF(B11&lt;&gt;"",IF(AND(D11&lt;&gt;"",E11&lt;&gt;""),"入力済","未入力"),"不要")</f>
        <v>不要</v>
      </c>
      <c r="H11" s="443"/>
      <c r="J11" s="154"/>
    </row>
    <row r="12" spans="1:10" ht="62.25" customHeight="1" thickBot="1">
      <c r="A12" s="441">
        <v>4</v>
      </c>
      <c r="B12" s="77"/>
      <c r="C12" s="439" t="str">
        <f>+IFERROR(VLOOKUP($B12,'様式４(機能別)'!$A:$K,8,0),"")</f>
        <v/>
      </c>
      <c r="D12" s="105"/>
      <c r="E12" s="1320"/>
      <c r="F12" s="1321"/>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20"/>
      <c r="F13" s="1321"/>
      <c r="G13" s="425" t="str">
        <f t="shared" si="0"/>
        <v>不要</v>
      </c>
      <c r="J13" s="74"/>
    </row>
    <row r="14" spans="1:10" ht="62.25" customHeight="1" thickBot="1">
      <c r="A14" s="441">
        <v>6</v>
      </c>
      <c r="B14" s="77"/>
      <c r="C14" s="439" t="str">
        <f>+IFERROR(VLOOKUP($B14,'様式４(機能別)'!$A:$K,8,0),"")</f>
        <v/>
      </c>
      <c r="D14" s="105"/>
      <c r="E14" s="1320"/>
      <c r="F14" s="1321"/>
      <c r="G14" s="442" t="str">
        <f t="shared" si="0"/>
        <v>不要</v>
      </c>
      <c r="H14" s="445"/>
      <c r="I14" s="444"/>
      <c r="J14" s="74"/>
    </row>
    <row r="15" spans="1:10" ht="62.25" customHeight="1" thickBot="1">
      <c r="A15" s="441">
        <v>7</v>
      </c>
      <c r="B15" s="77"/>
      <c r="C15" s="439" t="str">
        <f>+IFERROR(VLOOKUP($B15,'様式４(機能別)'!$A:$K,8,0),"")</f>
        <v/>
      </c>
      <c r="D15" s="105"/>
      <c r="E15" s="1320"/>
      <c r="F15" s="1321"/>
      <c r="G15" s="442" t="str">
        <f t="shared" si="0"/>
        <v>不要</v>
      </c>
      <c r="H15" s="445"/>
      <c r="J15" s="74"/>
    </row>
    <row r="16" spans="1:10" ht="62.25" customHeight="1" thickBot="1">
      <c r="A16" s="441">
        <v>8</v>
      </c>
      <c r="B16" s="77"/>
      <c r="C16" s="439" t="str">
        <f>+IFERROR(VLOOKUP($B16,'様式４(機能別)'!$A:$K,8,0),"")</f>
        <v/>
      </c>
      <c r="D16" s="105"/>
      <c r="E16" s="1320"/>
      <c r="F16" s="1321"/>
      <c r="G16" s="425" t="str">
        <f t="shared" si="0"/>
        <v>不要</v>
      </c>
      <c r="J16" s="74"/>
    </row>
    <row r="17" spans="1:10" ht="62.25" customHeight="1" thickBot="1">
      <c r="A17" s="441">
        <v>9</v>
      </c>
      <c r="B17" s="77"/>
      <c r="C17" s="439" t="str">
        <f>+IFERROR(VLOOKUP($B17,'様式４(機能別)'!$A:$K,8,0),"")</f>
        <v/>
      </c>
      <c r="D17" s="105"/>
      <c r="E17" s="1320"/>
      <c r="F17" s="1321"/>
      <c r="G17" s="425" t="str">
        <f t="shared" si="0"/>
        <v>不要</v>
      </c>
      <c r="J17" s="74"/>
    </row>
    <row r="18" spans="1:10" ht="62.25" customHeight="1" thickBot="1">
      <c r="A18" s="441">
        <v>10</v>
      </c>
      <c r="B18" s="77"/>
      <c r="C18" s="439" t="str">
        <f>+IFERROR(VLOOKUP($B18,'様式４(機能別)'!$A:$K,8,0),"")</f>
        <v/>
      </c>
      <c r="D18" s="105"/>
      <c r="E18" s="1320"/>
      <c r="F18" s="1321"/>
      <c r="G18" s="425" t="str">
        <f t="shared" si="0"/>
        <v>不要</v>
      </c>
      <c r="J18" s="74"/>
    </row>
    <row r="19" spans="1:10" ht="62.25" customHeight="1" thickBot="1">
      <c r="A19" s="441">
        <v>11</v>
      </c>
      <c r="B19" s="77"/>
      <c r="C19" s="439" t="str">
        <f>+IFERROR(VLOOKUP($B19,'様式４(機能別)'!$A:$K,8,0),"")</f>
        <v/>
      </c>
      <c r="D19" s="105"/>
      <c r="E19" s="1320"/>
      <c r="F19" s="1321"/>
      <c r="G19" s="425" t="str">
        <f t="shared" si="0"/>
        <v>不要</v>
      </c>
      <c r="J19" s="74"/>
    </row>
    <row r="20" spans="1:10" ht="62.25" customHeight="1" thickBot="1">
      <c r="A20" s="441">
        <v>12</v>
      </c>
      <c r="B20" s="77"/>
      <c r="C20" s="439" t="str">
        <f>+IFERROR(VLOOKUP($B20,'様式４(機能別)'!$A:$K,8,0),"")</f>
        <v/>
      </c>
      <c r="D20" s="105"/>
      <c r="E20" s="1320"/>
      <c r="F20" s="1321"/>
      <c r="G20" s="425" t="str">
        <f t="shared" si="0"/>
        <v>不要</v>
      </c>
      <c r="J20" s="74"/>
    </row>
    <row r="21" spans="1:10" ht="62.25" customHeight="1" thickBot="1">
      <c r="A21" s="441">
        <v>13</v>
      </c>
      <c r="B21" s="77"/>
      <c r="C21" s="439" t="str">
        <f>+IFERROR(VLOOKUP($B21,'様式４(機能別)'!$A:$K,8,0),"")</f>
        <v/>
      </c>
      <c r="D21" s="105"/>
      <c r="E21" s="1320"/>
      <c r="F21" s="1321"/>
      <c r="G21" s="425" t="str">
        <f t="shared" si="0"/>
        <v>不要</v>
      </c>
      <c r="J21" s="74"/>
    </row>
    <row r="22" spans="1:10" ht="62.25" customHeight="1" thickBot="1">
      <c r="A22" s="441">
        <v>14</v>
      </c>
      <c r="B22" s="77"/>
      <c r="C22" s="439" t="str">
        <f>+IFERROR(VLOOKUP($B22,'様式４(機能別)'!$A:$K,8,0),"")</f>
        <v/>
      </c>
      <c r="D22" s="105"/>
      <c r="E22" s="1320"/>
      <c r="F22" s="1321"/>
      <c r="G22" s="425" t="str">
        <f t="shared" si="0"/>
        <v>不要</v>
      </c>
      <c r="J22" s="74"/>
    </row>
    <row r="23" spans="1:10" ht="62.25" customHeight="1" thickBot="1">
      <c r="A23" s="441">
        <v>15</v>
      </c>
      <c r="B23" s="77"/>
      <c r="C23" s="439" t="str">
        <f>+IFERROR(VLOOKUP($B23,'様式４(機能別)'!$A:$K,8,0),"")</f>
        <v/>
      </c>
      <c r="D23" s="105"/>
      <c r="E23" s="1320"/>
      <c r="F23" s="1321"/>
      <c r="G23" s="425" t="str">
        <f t="shared" si="0"/>
        <v>不要</v>
      </c>
      <c r="J23" s="74"/>
    </row>
    <row r="24" spans="1:10" ht="62.25" customHeight="1" thickBot="1">
      <c r="A24" s="441">
        <v>16</v>
      </c>
      <c r="B24" s="77"/>
      <c r="C24" s="439" t="str">
        <f>+IFERROR(VLOOKUP($B24,'様式４(機能別)'!$A:$K,8,0),"")</f>
        <v/>
      </c>
      <c r="D24" s="105"/>
      <c r="E24" s="1320"/>
      <c r="F24" s="1321"/>
      <c r="G24" s="425" t="str">
        <f t="shared" si="0"/>
        <v>不要</v>
      </c>
      <c r="I24" s="446"/>
      <c r="J24" s="860"/>
    </row>
    <row r="25" spans="1:10" ht="62.25" customHeight="1" thickBot="1">
      <c r="A25" s="441">
        <v>17</v>
      </c>
      <c r="B25" s="77"/>
      <c r="C25" s="439" t="str">
        <f>+IFERROR(VLOOKUP($B25,'様式４(機能別)'!$A:$K,8,0),"")</f>
        <v/>
      </c>
      <c r="D25" s="105"/>
      <c r="E25" s="1320"/>
      <c r="F25" s="1321"/>
      <c r="G25" s="425" t="str">
        <f t="shared" si="0"/>
        <v>不要</v>
      </c>
      <c r="J25" s="860"/>
    </row>
    <row r="26" spans="1:10" ht="62.25" customHeight="1" thickBot="1">
      <c r="A26" s="441">
        <v>18</v>
      </c>
      <c r="B26" s="77"/>
      <c r="C26" s="439" t="str">
        <f>+IFERROR(VLOOKUP($B26,'様式４(機能別)'!$A:$K,8,0),"")</f>
        <v/>
      </c>
      <c r="D26" s="105"/>
      <c r="E26" s="1320"/>
      <c r="F26" s="1321"/>
      <c r="G26" s="425" t="str">
        <f t="shared" si="0"/>
        <v>不要</v>
      </c>
      <c r="J26" s="860"/>
    </row>
    <row r="27" spans="1:10" ht="62.25" customHeight="1" thickBot="1">
      <c r="A27" s="441">
        <v>19</v>
      </c>
      <c r="B27" s="77"/>
      <c r="C27" s="439" t="str">
        <f>+IFERROR(VLOOKUP($B27,'様式４(機能別)'!$A:$K,8,0),"")</f>
        <v/>
      </c>
      <c r="D27" s="105"/>
      <c r="E27" s="1320"/>
      <c r="F27" s="1321"/>
      <c r="G27" s="425" t="str">
        <f t="shared" si="0"/>
        <v>不要</v>
      </c>
      <c r="J27" s="860"/>
    </row>
    <row r="28" spans="1:10" ht="62.25" customHeight="1" thickBot="1">
      <c r="A28" s="441">
        <v>20</v>
      </c>
      <c r="B28" s="77"/>
      <c r="C28" s="439" t="str">
        <f>+IFERROR(VLOOKUP($B28,'様式４(機能別)'!$A:$K,8,0),"")</f>
        <v/>
      </c>
      <c r="D28" s="105"/>
      <c r="E28" s="1320"/>
      <c r="F28" s="1321"/>
      <c r="G28" s="425" t="str">
        <f t="shared" si="0"/>
        <v>不要</v>
      </c>
      <c r="J28" s="860"/>
    </row>
    <row r="29" spans="1:10" ht="62.25" customHeight="1" thickBot="1">
      <c r="A29" s="441">
        <v>21</v>
      </c>
      <c r="B29" s="77"/>
      <c r="C29" s="439" t="str">
        <f>+IFERROR(VLOOKUP($B29,'様式４(機能別)'!$A:$K,8,0),"")</f>
        <v/>
      </c>
      <c r="D29" s="105"/>
      <c r="E29" s="1320"/>
      <c r="F29" s="1321"/>
      <c r="G29" s="425" t="str">
        <f t="shared" si="0"/>
        <v>不要</v>
      </c>
      <c r="J29" s="860"/>
    </row>
    <row r="30" spans="1:10" ht="62.25" customHeight="1" thickBot="1">
      <c r="A30" s="441">
        <v>22</v>
      </c>
      <c r="B30" s="77"/>
      <c r="C30" s="439" t="str">
        <f>+IFERROR(VLOOKUP($B30,'様式４(機能別)'!$A:$K,8,0),"")</f>
        <v/>
      </c>
      <c r="D30" s="105"/>
      <c r="E30" s="1320"/>
      <c r="F30" s="1321"/>
      <c r="J30" s="860"/>
    </row>
    <row r="31" spans="1:10" ht="62.25" customHeight="1" thickBot="1">
      <c r="A31" s="441">
        <v>23</v>
      </c>
      <c r="B31" s="77"/>
      <c r="C31" s="439" t="str">
        <f>+IFERROR(VLOOKUP($B31,'様式４(機能別)'!$A:$K,8,0),"")</f>
        <v/>
      </c>
      <c r="D31" s="105"/>
      <c r="E31" s="1320"/>
      <c r="F31" s="1321"/>
      <c r="J31" s="860"/>
    </row>
    <row r="32" spans="1:10" ht="62.25" customHeight="1" thickBot="1">
      <c r="A32" s="441">
        <v>24</v>
      </c>
      <c r="B32" s="77"/>
      <c r="C32" s="439" t="str">
        <f>+IFERROR(VLOOKUP($B32,'様式４(機能別)'!$A:$K,8,0),"")</f>
        <v/>
      </c>
      <c r="D32" s="105"/>
      <c r="E32" s="1320"/>
      <c r="F32" s="1321"/>
      <c r="J32" s="860"/>
    </row>
    <row r="33" spans="1:10" ht="62.25" customHeight="1" thickBot="1">
      <c r="A33" s="441">
        <v>25</v>
      </c>
      <c r="B33" s="77"/>
      <c r="C33" s="439" t="str">
        <f>+IFERROR(VLOOKUP($B33,'様式４(機能別)'!$A:$K,8,0),"")</f>
        <v/>
      </c>
      <c r="D33" s="105"/>
      <c r="E33" s="1320"/>
      <c r="F33" s="1321"/>
      <c r="J33" s="860"/>
    </row>
    <row r="34" spans="1:10" ht="62.25" customHeight="1" thickBot="1">
      <c r="A34" s="441">
        <v>26</v>
      </c>
      <c r="B34" s="77"/>
      <c r="C34" s="439" t="str">
        <f>+IFERROR(VLOOKUP($B34,'様式４(機能別)'!$A:$K,8,0),"")</f>
        <v/>
      </c>
      <c r="D34" s="105"/>
      <c r="E34" s="1320"/>
      <c r="F34" s="1321"/>
      <c r="J34" s="860"/>
    </row>
    <row r="35" spans="1:10" ht="62.25" customHeight="1" thickBot="1">
      <c r="A35" s="441">
        <v>27</v>
      </c>
      <c r="B35" s="77"/>
      <c r="C35" s="439" t="str">
        <f>+IFERROR(VLOOKUP($B35,'様式４(機能別)'!$A:$K,8,0),"")</f>
        <v/>
      </c>
      <c r="D35" s="105"/>
      <c r="E35" s="1320"/>
      <c r="F35" s="1321"/>
      <c r="J35" s="860"/>
    </row>
    <row r="36" spans="1:10" ht="62.25" customHeight="1" thickBot="1">
      <c r="A36" s="441">
        <v>28</v>
      </c>
      <c r="B36" s="77"/>
      <c r="C36" s="439" t="str">
        <f>+IFERROR(VLOOKUP($B36,'様式４(機能別)'!$A:$K,8,0),"")</f>
        <v/>
      </c>
      <c r="D36" s="105"/>
      <c r="E36" s="1320"/>
      <c r="F36" s="1321"/>
      <c r="J36" s="860"/>
    </row>
    <row r="37" spans="1:10" ht="62.25" customHeight="1" thickBot="1">
      <c r="A37" s="441">
        <v>29</v>
      </c>
      <c r="B37" s="77"/>
      <c r="C37" s="439" t="str">
        <f>+IFERROR(VLOOKUP($B37,'様式４(機能別)'!$A:$K,8,0),"")</f>
        <v/>
      </c>
      <c r="D37" s="105"/>
      <c r="E37" s="1320"/>
      <c r="F37" s="1321"/>
      <c r="J37" s="860"/>
    </row>
    <row r="38" spans="1:10" ht="62.25" customHeight="1" thickBot="1">
      <c r="A38" s="441">
        <v>30</v>
      </c>
      <c r="B38" s="77"/>
      <c r="C38" s="439" t="str">
        <f>+IFERROR(VLOOKUP($B38,'様式４(機能別)'!$A:$K,8,0),"")</f>
        <v/>
      </c>
      <c r="D38" s="105"/>
      <c r="E38" s="1320"/>
      <c r="F38" s="1321"/>
      <c r="J38" s="860"/>
    </row>
    <row r="39" spans="1:10" ht="62.25" customHeight="1" thickBot="1">
      <c r="A39" s="441">
        <v>31</v>
      </c>
      <c r="B39" s="77"/>
      <c r="C39" s="439" t="str">
        <f>+IFERROR(VLOOKUP($B39,'様式４(機能別)'!$A:$K,8,0),"")</f>
        <v/>
      </c>
      <c r="D39" s="105"/>
      <c r="E39" s="1320"/>
      <c r="F39" s="1321"/>
      <c r="J39" s="860"/>
    </row>
    <row r="40" spans="1:10" ht="62.25" customHeight="1" thickBot="1">
      <c r="A40" s="441">
        <v>32</v>
      </c>
      <c r="B40" s="77"/>
      <c r="C40" s="439" t="str">
        <f>+IFERROR(VLOOKUP($B40,'様式４(機能別)'!$A:$K,8,0),"")</f>
        <v/>
      </c>
      <c r="D40" s="105"/>
      <c r="E40" s="1320"/>
      <c r="F40" s="1321"/>
      <c r="J40" s="860"/>
    </row>
    <row r="41" spans="1:10" ht="62.25" customHeight="1" thickBot="1">
      <c r="A41" s="441">
        <v>33</v>
      </c>
      <c r="B41" s="77"/>
      <c r="C41" s="439" t="str">
        <f>+IFERROR(VLOOKUP($B41,'様式４(機能別)'!$A:$K,8,0),"")</f>
        <v/>
      </c>
      <c r="D41" s="105"/>
      <c r="E41" s="1320"/>
      <c r="F41" s="1321"/>
      <c r="J41" s="860"/>
    </row>
    <row r="42" spans="1:10" ht="62.25" customHeight="1" thickBot="1">
      <c r="A42" s="441">
        <v>34</v>
      </c>
      <c r="B42" s="77"/>
      <c r="C42" s="439" t="str">
        <f>+IFERROR(VLOOKUP($B42,'様式４(機能別)'!$A:$K,8,0),"")</f>
        <v/>
      </c>
      <c r="D42" s="105"/>
      <c r="E42" s="1320"/>
      <c r="F42" s="1321"/>
      <c r="J42" s="860"/>
    </row>
    <row r="43" spans="1:10" ht="62.25" customHeight="1" thickBot="1">
      <c r="A43" s="441">
        <v>35</v>
      </c>
      <c r="B43" s="77"/>
      <c r="C43" s="439" t="str">
        <f>+IFERROR(VLOOKUP($B43,'様式４(機能別)'!$A:$K,8,0),"")</f>
        <v/>
      </c>
      <c r="D43" s="105"/>
      <c r="E43" s="1320"/>
      <c r="F43" s="1321"/>
      <c r="J43" s="860"/>
    </row>
    <row r="44" spans="1:10" ht="62.25" customHeight="1" thickBot="1">
      <c r="A44" s="441">
        <v>36</v>
      </c>
      <c r="B44" s="77"/>
      <c r="C44" s="439" t="str">
        <f>+IFERROR(VLOOKUP($B44,'様式４(機能別)'!$A:$K,8,0),"")</f>
        <v/>
      </c>
      <c r="D44" s="105"/>
      <c r="E44" s="1320"/>
      <c r="F44" s="1321"/>
      <c r="J44" s="860"/>
    </row>
    <row r="45" spans="1:10" ht="62.25" customHeight="1" thickBot="1">
      <c r="A45" s="441">
        <v>37</v>
      </c>
      <c r="B45" s="77"/>
      <c r="C45" s="439" t="str">
        <f>+IFERROR(VLOOKUP($B45,'様式４(機能別)'!$A:$K,8,0),"")</f>
        <v/>
      </c>
      <c r="D45" s="105"/>
      <c r="E45" s="1320"/>
      <c r="F45" s="1321"/>
      <c r="J45" s="860"/>
    </row>
    <row r="46" spans="1:10" ht="62.25" customHeight="1" thickBot="1">
      <c r="A46" s="441">
        <v>38</v>
      </c>
      <c r="B46" s="77"/>
      <c r="C46" s="439" t="str">
        <f>+IFERROR(VLOOKUP($B46,'様式４(機能別)'!$A:$K,8,0),"")</f>
        <v/>
      </c>
      <c r="D46" s="105"/>
      <c r="E46" s="1320"/>
      <c r="F46" s="1321"/>
      <c r="J46" s="860"/>
    </row>
    <row r="47" spans="1:10" ht="62.25" customHeight="1" thickBot="1">
      <c r="A47" s="441">
        <v>39</v>
      </c>
      <c r="B47" s="77"/>
      <c r="C47" s="439" t="str">
        <f>+IFERROR(VLOOKUP($B47,'様式４(機能別)'!$A:$K,8,0),"")</f>
        <v/>
      </c>
      <c r="D47" s="105"/>
      <c r="E47" s="1320"/>
      <c r="F47" s="1321"/>
      <c r="J47" s="860"/>
    </row>
    <row r="48" spans="1:10" ht="62.25" customHeight="1" thickBot="1">
      <c r="A48" s="441">
        <v>40</v>
      </c>
      <c r="B48" s="77"/>
      <c r="C48" s="439" t="str">
        <f>+IFERROR(VLOOKUP($B48,'様式４(機能別)'!$A:$K,8,0),"")</f>
        <v/>
      </c>
      <c r="D48" s="105"/>
      <c r="E48" s="1320"/>
      <c r="F48" s="1321"/>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E12" sqref="E12:L12"/>
    </sheetView>
  </sheetViews>
  <sheetFormatPr defaultColWidth="8.88671875" defaultRowHeight="13.2"/>
  <cols>
    <col min="1" max="1" width="47.88671875" customWidth="1"/>
    <col min="2" max="5" width="18.21875" customWidth="1"/>
    <col min="6" max="9" width="2.33203125" customWidth="1"/>
    <col min="10" max="10" width="15.77734375" customWidth="1"/>
    <col min="11" max="11" width="14.88671875" customWidth="1"/>
    <col min="12" max="12" width="15" customWidth="1"/>
    <col min="13" max="13" width="2.6640625" customWidth="1"/>
    <col min="14" max="15" width="6" hidden="1" customWidth="1"/>
    <col min="16" max="16" width="2.21875" style="452" customWidth="1"/>
    <col min="17" max="17" width="87.6640625" style="332" customWidth="1"/>
  </cols>
  <sheetData>
    <row r="1" spans="1:17" ht="20.100000000000001" customHeight="1" thickBot="1">
      <c r="A1" s="1349" t="s">
        <v>1639</v>
      </c>
      <c r="B1" s="1349"/>
      <c r="C1" s="1349"/>
      <c r="D1" s="1349"/>
      <c r="E1" s="1349"/>
      <c r="F1" s="1349"/>
      <c r="G1" s="1349"/>
      <c r="H1" s="1349"/>
      <c r="I1" s="1349"/>
      <c r="J1" s="1349"/>
      <c r="K1" s="1349"/>
      <c r="P1" s="83"/>
      <c r="Q1" s="85"/>
    </row>
    <row r="2" spans="1:17" ht="24.9" customHeight="1" thickTop="1" thickBot="1">
      <c r="A2" s="448"/>
      <c r="B2" s="1268" t="s">
        <v>762</v>
      </c>
      <c r="C2" s="1268"/>
      <c r="D2" s="1268"/>
      <c r="E2" s="1268"/>
      <c r="F2" s="1268"/>
      <c r="G2" s="1268"/>
      <c r="H2" s="1268"/>
      <c r="I2" s="1268"/>
      <c r="J2" s="1350"/>
      <c r="K2" s="427" t="str">
        <f>IF(COUNTIF(N12:O16,"×")=0,"入力済","未入力あり")</f>
        <v>入力済</v>
      </c>
      <c r="L2" s="1351"/>
      <c r="M2" s="472"/>
      <c r="N2" s="472"/>
      <c r="O2" s="472"/>
      <c r="P2" s="83"/>
      <c r="Q2" s="85"/>
    </row>
    <row r="3" spans="1:17" ht="5.0999999999999996" customHeight="1" thickTop="1">
      <c r="A3" s="450"/>
      <c r="B3" s="450"/>
      <c r="C3" s="450"/>
      <c r="D3" s="450"/>
      <c r="E3" s="450"/>
      <c r="F3" s="450"/>
      <c r="G3" s="450"/>
      <c r="H3" s="450"/>
      <c r="I3" s="450"/>
      <c r="J3" s="450"/>
      <c r="K3" s="450"/>
      <c r="L3" s="1351"/>
      <c r="M3" s="472"/>
      <c r="N3" s="472"/>
      <c r="O3" s="472"/>
    </row>
    <row r="4" spans="1:17" ht="20.100000000000001" customHeight="1">
      <c r="A4" s="450"/>
      <c r="B4" s="450"/>
      <c r="C4" s="450"/>
      <c r="D4" s="450"/>
      <c r="E4" s="450"/>
      <c r="F4" s="453" t="s">
        <v>763</v>
      </c>
      <c r="G4" s="1352" t="str">
        <f>表紙!E2</f>
        <v>公益財団法人　日本生命済生会　日本生命病院</v>
      </c>
      <c r="H4" s="1353"/>
      <c r="I4" s="1353"/>
      <c r="J4" s="1353"/>
      <c r="K4" s="1354"/>
      <c r="L4" s="1351"/>
      <c r="M4" s="472"/>
      <c r="N4" s="472"/>
      <c r="O4" s="472"/>
      <c r="P4" s="83"/>
    </row>
    <row r="5" spans="1:17" ht="19.5" customHeight="1">
      <c r="A5" s="450"/>
      <c r="B5" s="453"/>
      <c r="C5" s="453"/>
      <c r="D5" s="453"/>
      <c r="E5" s="1137"/>
      <c r="F5" s="1137" t="s">
        <v>1640</v>
      </c>
      <c r="G5" s="1138" t="str">
        <f>別紙1未充足要件!E5</f>
        <v>令和６年９月１日時点</v>
      </c>
      <c r="J5" s="454"/>
      <c r="K5" s="454"/>
      <c r="L5" s="1351"/>
      <c r="M5" s="472"/>
      <c r="N5" s="472"/>
      <c r="O5" s="472"/>
      <c r="P5" s="455"/>
      <c r="Q5" s="177" t="s">
        <v>234</v>
      </c>
    </row>
    <row r="6" spans="1:17" s="476" customFormat="1" ht="28.95" customHeight="1">
      <c r="A6" s="473"/>
      <c r="B6" s="474"/>
      <c r="C6" s="474"/>
      <c r="D6" s="474"/>
      <c r="E6" s="474"/>
      <c r="F6" s="474"/>
      <c r="G6" s="474"/>
      <c r="H6" s="474"/>
      <c r="I6" s="474"/>
      <c r="J6" s="474"/>
      <c r="K6" s="474"/>
      <c r="L6" s="1351"/>
      <c r="M6" s="472"/>
      <c r="N6" s="472"/>
      <c r="O6" s="472"/>
      <c r="P6" s="475"/>
      <c r="Q6" s="154"/>
    </row>
    <row r="7" spans="1:17" s="8" customFormat="1" ht="20.100000000000001" customHeight="1">
      <c r="A7" s="1132" t="s">
        <v>1637</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5" t="s">
        <v>1440</v>
      </c>
      <c r="B9" s="1337" t="s">
        <v>856</v>
      </c>
      <c r="C9" s="1338"/>
      <c r="D9" s="1338"/>
      <c r="E9" s="1339" t="s">
        <v>857</v>
      </c>
      <c r="F9" s="1340"/>
      <c r="G9" s="1340"/>
      <c r="H9" s="1340"/>
      <c r="I9" s="1340"/>
      <c r="J9" s="1340"/>
      <c r="K9" s="1340"/>
      <c r="L9" s="1341"/>
      <c r="M9" s="481"/>
      <c r="N9" s="482"/>
      <c r="O9" s="482"/>
      <c r="P9" s="51"/>
      <c r="Q9" s="154"/>
    </row>
    <row r="10" spans="1:17" s="8" customFormat="1" ht="22.5" customHeight="1">
      <c r="A10" s="1356"/>
      <c r="B10" s="1135" t="s">
        <v>858</v>
      </c>
      <c r="C10" s="1135" t="s">
        <v>859</v>
      </c>
      <c r="D10" s="1135" t="s">
        <v>860</v>
      </c>
      <c r="E10" s="1342"/>
      <c r="F10" s="1343"/>
      <c r="G10" s="1343"/>
      <c r="H10" s="1343"/>
      <c r="I10" s="1343"/>
      <c r="J10" s="1343"/>
      <c r="K10" s="1343"/>
      <c r="L10" s="1344"/>
      <c r="M10" s="481"/>
      <c r="N10" s="482"/>
      <c r="O10" s="482"/>
      <c r="P10" s="51"/>
      <c r="Q10" s="74"/>
    </row>
    <row r="11" spans="1:17" s="8" customFormat="1" ht="42" customHeight="1" thickBot="1">
      <c r="A11" s="1136" t="s">
        <v>1638</v>
      </c>
      <c r="B11" s="484" t="s">
        <v>861</v>
      </c>
      <c r="C11" s="484" t="s">
        <v>862</v>
      </c>
      <c r="D11" s="484" t="s">
        <v>861</v>
      </c>
      <c r="E11" s="1348" t="s">
        <v>1771</v>
      </c>
      <c r="F11" s="1348"/>
      <c r="G11" s="1348"/>
      <c r="H11" s="1348"/>
      <c r="I11" s="1348"/>
      <c r="J11" s="1348"/>
      <c r="K11" s="1348"/>
      <c r="L11" s="1348"/>
      <c r="M11" s="485"/>
      <c r="N11" s="486"/>
      <c r="O11" s="486"/>
      <c r="P11" s="51"/>
      <c r="Q11" s="74"/>
    </row>
    <row r="12" spans="1:17" s="8" customFormat="1" ht="42" customHeight="1" thickTop="1" thickBot="1">
      <c r="A12" s="487" t="s">
        <v>1384</v>
      </c>
      <c r="B12" s="64" t="s">
        <v>862</v>
      </c>
      <c r="C12" s="64" t="s">
        <v>862</v>
      </c>
      <c r="D12" s="64" t="s">
        <v>862</v>
      </c>
      <c r="E12" s="1334"/>
      <c r="F12" s="1335"/>
      <c r="G12" s="1335"/>
      <c r="H12" s="1335"/>
      <c r="I12" s="1335"/>
      <c r="J12" s="1335"/>
      <c r="K12" s="1335"/>
      <c r="L12" s="1336"/>
      <c r="M12" s="485"/>
      <c r="N12" s="488" t="str">
        <f>IF(COUNTBLANK(B12:D12)=0,"○","×")</f>
        <v>○</v>
      </c>
      <c r="O12" s="488" t="str">
        <f>IF(AND(COUNTIF(B12:D12,"×")&gt;=1,E12=""),"×","○")</f>
        <v>○</v>
      </c>
      <c r="P12" s="51"/>
      <c r="Q12" s="74"/>
    </row>
    <row r="13" spans="1:17" s="8" customFormat="1" ht="42" customHeight="1" thickBot="1">
      <c r="A13" s="489" t="s">
        <v>1386</v>
      </c>
      <c r="B13" s="55" t="s">
        <v>862</v>
      </c>
      <c r="C13" s="55" t="s">
        <v>862</v>
      </c>
      <c r="D13" s="55" t="s">
        <v>862</v>
      </c>
      <c r="E13" s="1345"/>
      <c r="F13" s="1346"/>
      <c r="G13" s="1346"/>
      <c r="H13" s="1346"/>
      <c r="I13" s="1346"/>
      <c r="J13" s="1346"/>
      <c r="K13" s="1346"/>
      <c r="L13" s="1347"/>
      <c r="M13" s="485"/>
      <c r="N13" s="488" t="str">
        <f t="shared" ref="N13:N18" si="0">IF(COUNTBLANK(B13:D13)=0,"○","×")</f>
        <v>○</v>
      </c>
      <c r="O13" s="488" t="str">
        <f t="shared" ref="O13:O19" si="1">IF(AND(COUNTIF(B13:D13,"×")&gt;=1,E13=""),"×","○")</f>
        <v>○</v>
      </c>
      <c r="P13" s="51"/>
      <c r="Q13" s="74"/>
    </row>
    <row r="14" spans="1:17" s="8" customFormat="1" ht="42" customHeight="1" thickBot="1">
      <c r="A14" s="490" t="s">
        <v>1382</v>
      </c>
      <c r="B14" s="55" t="s">
        <v>862</v>
      </c>
      <c r="C14" s="55" t="s">
        <v>862</v>
      </c>
      <c r="D14" s="55" t="s">
        <v>862</v>
      </c>
      <c r="E14" s="1345"/>
      <c r="F14" s="1346"/>
      <c r="G14" s="1346"/>
      <c r="H14" s="1346"/>
      <c r="I14" s="1346"/>
      <c r="J14" s="1346"/>
      <c r="K14" s="1346"/>
      <c r="L14" s="1347"/>
      <c r="M14" s="485"/>
      <c r="N14" s="488" t="str">
        <f t="shared" si="0"/>
        <v>○</v>
      </c>
      <c r="O14" s="488" t="str">
        <f t="shared" si="1"/>
        <v>○</v>
      </c>
      <c r="P14" s="51"/>
      <c r="Q14" s="74"/>
    </row>
    <row r="15" spans="1:17" s="8" customFormat="1" ht="42" customHeight="1" thickBot="1">
      <c r="A15" s="491" t="s">
        <v>1385</v>
      </c>
      <c r="B15" s="55" t="s">
        <v>862</v>
      </c>
      <c r="C15" s="55" t="s">
        <v>862</v>
      </c>
      <c r="D15" s="55" t="s">
        <v>862</v>
      </c>
      <c r="E15" s="1345"/>
      <c r="F15" s="1346"/>
      <c r="G15" s="1346"/>
      <c r="H15" s="1346"/>
      <c r="I15" s="1346"/>
      <c r="J15" s="1346"/>
      <c r="K15" s="1346"/>
      <c r="L15" s="1347"/>
      <c r="M15" s="485"/>
      <c r="N15" s="488" t="str">
        <f t="shared" si="0"/>
        <v>○</v>
      </c>
      <c r="O15" s="488" t="str">
        <f t="shared" si="1"/>
        <v>○</v>
      </c>
      <c r="P15" s="51"/>
      <c r="Q15" s="74"/>
    </row>
    <row r="16" spans="1:17" s="8" customFormat="1" ht="42" customHeight="1" thickBot="1">
      <c r="A16" s="491" t="s">
        <v>1387</v>
      </c>
      <c r="B16" s="55" t="s">
        <v>862</v>
      </c>
      <c r="C16" s="55" t="s">
        <v>862</v>
      </c>
      <c r="D16" s="55" t="s">
        <v>862</v>
      </c>
      <c r="E16" s="1345"/>
      <c r="F16" s="1346"/>
      <c r="G16" s="1346"/>
      <c r="H16" s="1346"/>
      <c r="I16" s="1346"/>
      <c r="J16" s="1346"/>
      <c r="K16" s="1346"/>
      <c r="L16" s="1347"/>
      <c r="M16" s="485"/>
      <c r="N16" s="488" t="str">
        <f t="shared" si="0"/>
        <v>○</v>
      </c>
      <c r="O16" s="488" t="str">
        <f t="shared" si="1"/>
        <v>○</v>
      </c>
      <c r="P16" s="51"/>
      <c r="Q16" s="74"/>
    </row>
    <row r="17" spans="1:17" s="8" customFormat="1" ht="42" customHeight="1" thickBot="1">
      <c r="A17" s="491" t="s">
        <v>1383</v>
      </c>
      <c r="B17" s="55" t="s">
        <v>862</v>
      </c>
      <c r="C17" s="55" t="s">
        <v>862</v>
      </c>
      <c r="D17" s="55" t="s">
        <v>862</v>
      </c>
      <c r="E17" s="1345"/>
      <c r="F17" s="1346"/>
      <c r="G17" s="1346"/>
      <c r="H17" s="1346"/>
      <c r="I17" s="1346"/>
      <c r="J17" s="1346"/>
      <c r="K17" s="1346"/>
      <c r="L17" s="1347"/>
      <c r="M17" s="485"/>
      <c r="N17" s="488" t="str">
        <f t="shared" si="0"/>
        <v>○</v>
      </c>
      <c r="O17" s="488" t="str">
        <f t="shared" si="1"/>
        <v>○</v>
      </c>
      <c r="P17" s="51"/>
      <c r="Q17" s="74"/>
    </row>
    <row r="18" spans="1:17" s="8" customFormat="1" ht="42" customHeight="1" thickBot="1">
      <c r="A18" s="491" t="s">
        <v>863</v>
      </c>
      <c r="B18" s="55" t="s">
        <v>862</v>
      </c>
      <c r="C18" s="55" t="s">
        <v>862</v>
      </c>
      <c r="D18" s="55" t="s">
        <v>862</v>
      </c>
      <c r="E18" s="1345"/>
      <c r="F18" s="1346"/>
      <c r="G18" s="1346"/>
      <c r="H18" s="1346"/>
      <c r="I18" s="1346"/>
      <c r="J18" s="1346"/>
      <c r="K18" s="1346"/>
      <c r="L18" s="1347"/>
      <c r="M18" s="485"/>
      <c r="N18" s="488" t="str">
        <f t="shared" si="0"/>
        <v>○</v>
      </c>
      <c r="O18" s="488" t="str">
        <f t="shared" si="1"/>
        <v>○</v>
      </c>
      <c r="P18" s="51"/>
      <c r="Q18" s="74"/>
    </row>
    <row r="19" spans="1:17" s="8" customFormat="1" ht="42" customHeight="1" thickBot="1">
      <c r="A19" s="491" t="s">
        <v>49</v>
      </c>
      <c r="B19" s="55" t="s">
        <v>862</v>
      </c>
      <c r="C19" s="55" t="s">
        <v>862</v>
      </c>
      <c r="D19" s="55" t="s">
        <v>862</v>
      </c>
      <c r="E19" s="1345"/>
      <c r="F19" s="1346"/>
      <c r="G19" s="1346"/>
      <c r="H19" s="1346"/>
      <c r="I19" s="1346"/>
      <c r="J19" s="1346"/>
      <c r="K19" s="1346"/>
      <c r="L19" s="1347"/>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10" zoomScale="85" zoomScaleNormal="85" zoomScaleSheetLayoutView="85" workbookViewId="0">
      <selection activeCell="J61" sqref="J61"/>
    </sheetView>
  </sheetViews>
  <sheetFormatPr defaultColWidth="9" defaultRowHeight="13.2"/>
  <cols>
    <col min="1" max="1" width="39.21875" style="449" customWidth="1"/>
    <col min="2" max="2" width="11.33203125" style="449" customWidth="1"/>
    <col min="3" max="3" width="12.109375" style="449" customWidth="1"/>
    <col min="4" max="4" width="13" style="449" customWidth="1"/>
    <col min="5" max="6" width="12" style="449" customWidth="1"/>
    <col min="7" max="8" width="13.21875" style="449" customWidth="1"/>
    <col min="9" max="9" width="13.88671875" style="449" customWidth="1"/>
    <col min="10" max="10" width="18.88671875" style="449" customWidth="1"/>
    <col min="11" max="11" width="23.88671875" style="449" customWidth="1"/>
    <col min="12" max="12" width="2.6640625" style="449" customWidth="1"/>
    <col min="13" max="14" width="9" style="449" hidden="1" customWidth="1"/>
    <col min="15" max="15" width="3.6640625" style="456" customWidth="1"/>
    <col min="16" max="16" width="82.77734375" style="457" bestFit="1" customWidth="1"/>
    <col min="17" max="24" width="9" style="457"/>
    <col min="25" max="16384" width="9" style="449"/>
  </cols>
  <sheetData>
    <row r="1" spans="1:24" customFormat="1" ht="20.100000000000001" customHeight="1" thickBot="1">
      <c r="A1" s="1366" t="s">
        <v>200</v>
      </c>
      <c r="B1" s="1366"/>
      <c r="C1" s="1366"/>
      <c r="D1" s="1366"/>
      <c r="E1" s="1366"/>
      <c r="F1" s="1366"/>
      <c r="G1" s="1366"/>
      <c r="H1" s="1366"/>
      <c r="I1" s="1366"/>
      <c r="J1" s="1366"/>
      <c r="K1" s="1366"/>
      <c r="N1" s="53"/>
      <c r="O1" s="83"/>
      <c r="P1" s="85"/>
      <c r="Q1" s="332"/>
      <c r="R1" s="332"/>
      <c r="S1" s="332"/>
      <c r="T1" s="332"/>
      <c r="U1" s="332"/>
      <c r="V1" s="332"/>
      <c r="W1" s="332"/>
      <c r="X1" s="332"/>
    </row>
    <row r="2" spans="1:24" customFormat="1" ht="24.9" customHeight="1" thickTop="1" thickBot="1">
      <c r="A2" s="448"/>
      <c r="B2" s="1268" t="s">
        <v>762</v>
      </c>
      <c r="C2" s="1268"/>
      <c r="D2" s="1268"/>
      <c r="E2" s="1268"/>
      <c r="F2" s="1268"/>
      <c r="G2" s="1268"/>
      <c r="H2" s="1268"/>
      <c r="I2" s="1268"/>
      <c r="J2" s="1350"/>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52" t="str">
        <f>表紙!E2</f>
        <v>公益財団法人　日本生命済生会　日本生命病院</v>
      </c>
      <c r="H4" s="1353"/>
      <c r="I4" s="1353"/>
      <c r="J4" s="1353"/>
      <c r="K4" s="1354"/>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1729</v>
      </c>
      <c r="J5" s="454"/>
      <c r="K5" s="454"/>
      <c r="L5" s="449"/>
      <c r="M5" s="449"/>
      <c r="N5" s="202"/>
      <c r="O5" s="455"/>
      <c r="P5" s="861" t="s">
        <v>234</v>
      </c>
      <c r="Q5" s="862"/>
      <c r="R5" s="332"/>
      <c r="S5" s="332"/>
      <c r="T5" s="332"/>
      <c r="U5" s="332"/>
      <c r="V5" s="332"/>
      <c r="W5" s="332"/>
      <c r="X5" s="332"/>
    </row>
    <row r="6" spans="1:24" ht="162.75" customHeight="1">
      <c r="A6" s="1367" t="s">
        <v>1786</v>
      </c>
      <c r="B6" s="1367"/>
      <c r="C6" s="1367"/>
      <c r="D6" s="1367"/>
      <c r="E6" s="1367"/>
      <c r="F6" s="1367"/>
      <c r="G6" s="1367"/>
      <c r="H6" s="1367"/>
      <c r="I6" s="1367"/>
      <c r="J6" s="1367"/>
      <c r="K6" s="1367"/>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68" t="s">
        <v>770</v>
      </c>
      <c r="C11" s="1369"/>
      <c r="D11" s="1369"/>
      <c r="E11" s="1369"/>
      <c r="F11" s="1369"/>
      <c r="G11" s="1370"/>
      <c r="H11" s="1371" t="s">
        <v>1756</v>
      </c>
      <c r="I11" s="1371"/>
      <c r="J11" s="1371"/>
      <c r="P11" s="158"/>
      <c r="Q11" s="863"/>
    </row>
    <row r="12" spans="1:24">
      <c r="A12" s="460"/>
      <c r="B12" s="1361" t="s">
        <v>771</v>
      </c>
      <c r="C12" s="1362"/>
      <c r="D12" s="1362"/>
      <c r="E12" s="1362"/>
      <c r="F12" s="1363"/>
      <c r="G12" s="1359" t="s">
        <v>772</v>
      </c>
      <c r="H12" s="1372" t="s">
        <v>773</v>
      </c>
      <c r="I12" s="1373"/>
      <c r="J12" s="1372" t="s">
        <v>774</v>
      </c>
      <c r="K12" s="461" t="s">
        <v>775</v>
      </c>
      <c r="P12" s="158"/>
      <c r="Q12" s="863"/>
    </row>
    <row r="13" spans="1:24" ht="13.5" customHeight="1">
      <c r="A13" s="1364" t="s">
        <v>776</v>
      </c>
      <c r="B13" s="1359" t="s">
        <v>777</v>
      </c>
      <c r="C13" s="1361" t="s">
        <v>778</v>
      </c>
      <c r="D13" s="1362"/>
      <c r="E13" s="1363"/>
      <c r="F13" s="1359" t="s">
        <v>779</v>
      </c>
      <c r="G13" s="1374"/>
      <c r="H13" s="1357" t="s">
        <v>780</v>
      </c>
      <c r="I13" s="1357" t="s">
        <v>1738</v>
      </c>
      <c r="J13" s="1360"/>
      <c r="K13" s="462"/>
      <c r="P13" s="158"/>
      <c r="Q13" s="863"/>
    </row>
    <row r="14" spans="1:24" ht="57.75" customHeight="1">
      <c r="A14" s="1365"/>
      <c r="B14" s="1360"/>
      <c r="C14" s="463" t="s">
        <v>781</v>
      </c>
      <c r="D14" s="463" t="s">
        <v>782</v>
      </c>
      <c r="E14" s="463" t="s">
        <v>783</v>
      </c>
      <c r="F14" s="1360"/>
      <c r="G14" s="1360"/>
      <c r="H14" s="1358"/>
      <c r="I14" s="1358"/>
      <c r="J14" s="1358"/>
      <c r="K14" s="464" t="s">
        <v>784</v>
      </c>
      <c r="P14" s="158"/>
      <c r="Q14" s="863"/>
    </row>
    <row r="15" spans="1:24">
      <c r="A15" s="465" t="s">
        <v>785</v>
      </c>
      <c r="B15" s="1236" t="s">
        <v>862</v>
      </c>
      <c r="C15" s="76" t="s">
        <v>862</v>
      </c>
      <c r="D15" s="76" t="s">
        <v>862</v>
      </c>
      <c r="E15" s="76" t="s">
        <v>1823</v>
      </c>
      <c r="F15" s="76" t="s">
        <v>1823</v>
      </c>
      <c r="G15" s="76" t="s">
        <v>1843</v>
      </c>
      <c r="H15" s="1206" t="s">
        <v>786</v>
      </c>
      <c r="I15" s="1206"/>
      <c r="J15" s="1235" t="s">
        <v>1821</v>
      </c>
      <c r="K15" s="866"/>
      <c r="M15" s="449" t="str">
        <f>IF(COUNTBLANK(B15:G15)=0,"○","×")</f>
        <v>○</v>
      </c>
      <c r="N15" s="449" t="str">
        <f>IF(AND(COUNTIF(B15:F15,"◎")&gt;=1,J15=""),"×","○")</f>
        <v>○</v>
      </c>
      <c r="P15" s="158"/>
      <c r="Q15" s="863"/>
    </row>
    <row r="16" spans="1:24">
      <c r="A16" s="465" t="s">
        <v>787</v>
      </c>
      <c r="B16" s="1236" t="s">
        <v>862</v>
      </c>
      <c r="C16" s="466"/>
      <c r="D16" s="76" t="s">
        <v>862</v>
      </c>
      <c r="E16" s="76" t="s">
        <v>1820</v>
      </c>
      <c r="F16" s="76" t="s">
        <v>1820</v>
      </c>
      <c r="G16" s="76" t="s">
        <v>1843</v>
      </c>
      <c r="H16" s="1206"/>
      <c r="I16" s="1206"/>
      <c r="J16" s="1235" t="s">
        <v>1821</v>
      </c>
      <c r="K16" s="866"/>
      <c r="M16" s="467" t="str">
        <f>IF(OR(B16="",D16="",E16="",F16="",G16=""),"×","○")</f>
        <v>○</v>
      </c>
      <c r="N16" s="449" t="str">
        <f>IF(AND(COUNTIF(B16:F16,"◎")&gt;=1,J16=""),"×","○")</f>
        <v>○</v>
      </c>
      <c r="P16" s="158"/>
      <c r="Q16" s="863"/>
    </row>
    <row r="17" spans="1:17">
      <c r="A17" s="465" t="s">
        <v>788</v>
      </c>
      <c r="B17" s="1236" t="s">
        <v>862</v>
      </c>
      <c r="C17" s="1236" t="s">
        <v>862</v>
      </c>
      <c r="D17" s="76" t="s">
        <v>862</v>
      </c>
      <c r="E17" s="76" t="s">
        <v>1823</v>
      </c>
      <c r="F17" s="76" t="s">
        <v>1823</v>
      </c>
      <c r="G17" s="76" t="s">
        <v>1843</v>
      </c>
      <c r="H17" s="1206"/>
      <c r="I17" s="1206"/>
      <c r="J17" s="1235" t="s">
        <v>1821</v>
      </c>
      <c r="K17" s="866"/>
      <c r="M17" s="449" t="str">
        <f t="shared" ref="M17:M80" si="0">IF(COUNTBLANK(B17:G17)=0,"○","×")</f>
        <v>○</v>
      </c>
      <c r="N17" s="449" t="str">
        <f t="shared" ref="N17:N80" si="1">IF(AND(COUNTIF(B17:F17,"◎")&gt;=1,J17=""),"×","○")</f>
        <v>○</v>
      </c>
      <c r="P17" s="158"/>
      <c r="Q17" s="863"/>
    </row>
    <row r="18" spans="1:17">
      <c r="A18" s="465" t="s">
        <v>789</v>
      </c>
      <c r="B18" s="1236" t="s">
        <v>1823</v>
      </c>
      <c r="C18" s="1236" t="s">
        <v>1823</v>
      </c>
      <c r="D18" s="76" t="s">
        <v>1823</v>
      </c>
      <c r="E18" s="76" t="s">
        <v>1823</v>
      </c>
      <c r="F18" s="76" t="s">
        <v>1823</v>
      </c>
      <c r="G18" s="76" t="s">
        <v>1843</v>
      </c>
      <c r="H18" s="1206"/>
      <c r="I18" s="1206"/>
      <c r="J18" s="1235" t="s">
        <v>1822</v>
      </c>
      <c r="K18" s="866"/>
      <c r="M18" s="449" t="str">
        <f t="shared" si="0"/>
        <v>○</v>
      </c>
      <c r="N18" s="449" t="str">
        <f t="shared" si="1"/>
        <v>○</v>
      </c>
      <c r="P18" s="158"/>
      <c r="Q18" s="863"/>
    </row>
    <row r="19" spans="1:17" ht="26.4">
      <c r="A19" s="465" t="s">
        <v>790</v>
      </c>
      <c r="B19" s="1236" t="s">
        <v>1820</v>
      </c>
      <c r="C19" s="1236" t="s">
        <v>1820</v>
      </c>
      <c r="D19" s="76" t="s">
        <v>1820</v>
      </c>
      <c r="E19" s="76" t="s">
        <v>1820</v>
      </c>
      <c r="F19" s="76" t="s">
        <v>1820</v>
      </c>
      <c r="G19" s="76" t="s">
        <v>1908</v>
      </c>
      <c r="H19" s="1206"/>
      <c r="I19" s="1206"/>
      <c r="J19" s="865" t="s">
        <v>1825</v>
      </c>
      <c r="K19" s="866"/>
      <c r="M19" s="449" t="str">
        <f t="shared" si="0"/>
        <v>○</v>
      </c>
      <c r="N19" s="449" t="str">
        <f t="shared" si="1"/>
        <v>○</v>
      </c>
      <c r="P19" s="158"/>
      <c r="Q19" s="863"/>
    </row>
    <row r="20" spans="1:17" ht="26.4">
      <c r="A20" s="465" t="s">
        <v>791</v>
      </c>
      <c r="B20" s="1236" t="s">
        <v>1820</v>
      </c>
      <c r="C20" s="1236" t="s">
        <v>1820</v>
      </c>
      <c r="D20" s="76" t="s">
        <v>1820</v>
      </c>
      <c r="E20" s="76" t="s">
        <v>1820</v>
      </c>
      <c r="F20" s="76" t="s">
        <v>1820</v>
      </c>
      <c r="G20" s="76" t="s">
        <v>1843</v>
      </c>
      <c r="H20" s="1206"/>
      <c r="I20" s="1206"/>
      <c r="J20" s="865" t="s">
        <v>1825</v>
      </c>
      <c r="K20" s="866"/>
      <c r="M20" s="449" t="str">
        <f t="shared" si="0"/>
        <v>○</v>
      </c>
      <c r="N20" s="449" t="str">
        <f t="shared" si="1"/>
        <v>○</v>
      </c>
      <c r="P20" s="158"/>
      <c r="Q20" s="863"/>
    </row>
    <row r="21" spans="1:17" ht="26.4">
      <c r="A21" s="465" t="s">
        <v>792</v>
      </c>
      <c r="B21" s="1236" t="s">
        <v>1820</v>
      </c>
      <c r="C21" s="1236" t="s">
        <v>1820</v>
      </c>
      <c r="D21" s="76" t="s">
        <v>1820</v>
      </c>
      <c r="E21" s="76" t="s">
        <v>1820</v>
      </c>
      <c r="F21" s="76" t="s">
        <v>1820</v>
      </c>
      <c r="G21" s="76" t="s">
        <v>1843</v>
      </c>
      <c r="H21" s="1206" t="s">
        <v>793</v>
      </c>
      <c r="I21" s="1206"/>
      <c r="J21" s="865" t="s">
        <v>1825</v>
      </c>
      <c r="K21" s="866"/>
      <c r="M21" s="449" t="str">
        <f t="shared" si="0"/>
        <v>○</v>
      </c>
      <c r="N21" s="449" t="str">
        <f t="shared" si="1"/>
        <v>○</v>
      </c>
      <c r="P21" s="158"/>
      <c r="Q21" s="863"/>
    </row>
    <row r="22" spans="1:17" ht="26.4">
      <c r="A22" s="465" t="s">
        <v>794</v>
      </c>
      <c r="B22" s="1236" t="s">
        <v>1820</v>
      </c>
      <c r="C22" s="1236" t="s">
        <v>1820</v>
      </c>
      <c r="D22" s="76" t="s">
        <v>1820</v>
      </c>
      <c r="E22" s="76" t="s">
        <v>1820</v>
      </c>
      <c r="F22" s="76" t="s">
        <v>1820</v>
      </c>
      <c r="G22" s="76" t="s">
        <v>1843</v>
      </c>
      <c r="H22" s="1206"/>
      <c r="I22" s="1206"/>
      <c r="J22" s="865" t="s">
        <v>1825</v>
      </c>
      <c r="K22" s="866"/>
      <c r="M22" s="449" t="str">
        <f t="shared" si="0"/>
        <v>○</v>
      </c>
      <c r="N22" s="449" t="str">
        <f t="shared" si="1"/>
        <v>○</v>
      </c>
      <c r="P22" s="158"/>
      <c r="Q22" s="863"/>
    </row>
    <row r="23" spans="1:17" ht="26.4">
      <c r="A23" s="465" t="s">
        <v>795</v>
      </c>
      <c r="B23" s="1236" t="s">
        <v>1820</v>
      </c>
      <c r="C23" s="1236" t="s">
        <v>1820</v>
      </c>
      <c r="D23" s="76" t="s">
        <v>1820</v>
      </c>
      <c r="E23" s="76" t="s">
        <v>1820</v>
      </c>
      <c r="F23" s="76" t="s">
        <v>1820</v>
      </c>
      <c r="G23" s="76" t="s">
        <v>1843</v>
      </c>
      <c r="H23" s="1206"/>
      <c r="I23" s="1206"/>
      <c r="J23" s="865" t="s">
        <v>1825</v>
      </c>
      <c r="K23" s="866"/>
      <c r="M23" s="449" t="str">
        <f t="shared" si="0"/>
        <v>○</v>
      </c>
      <c r="N23" s="449" t="str">
        <f t="shared" si="1"/>
        <v>○</v>
      </c>
      <c r="P23" s="158"/>
      <c r="Q23" s="863"/>
    </row>
    <row r="24" spans="1:17" ht="26.4">
      <c r="A24" s="465" t="s">
        <v>796</v>
      </c>
      <c r="B24" s="1236" t="s">
        <v>862</v>
      </c>
      <c r="C24" s="1236" t="s">
        <v>1823</v>
      </c>
      <c r="D24" s="76" t="s">
        <v>862</v>
      </c>
      <c r="E24" s="76" t="s">
        <v>862</v>
      </c>
      <c r="F24" s="76" t="s">
        <v>862</v>
      </c>
      <c r="G24" s="76" t="s">
        <v>1843</v>
      </c>
      <c r="H24" s="1206"/>
      <c r="I24" s="1206"/>
      <c r="J24" s="865" t="s">
        <v>1825</v>
      </c>
      <c r="K24" s="866"/>
      <c r="M24" s="449" t="str">
        <f t="shared" si="0"/>
        <v>○</v>
      </c>
      <c r="N24" s="449" t="str">
        <f t="shared" si="1"/>
        <v>○</v>
      </c>
      <c r="P24" s="158"/>
      <c r="Q24" s="863"/>
    </row>
    <row r="25" spans="1:17" ht="26.4">
      <c r="A25" s="465" t="s">
        <v>797</v>
      </c>
      <c r="B25" s="1236" t="s">
        <v>862</v>
      </c>
      <c r="C25" s="1236" t="s">
        <v>862</v>
      </c>
      <c r="D25" s="76" t="s">
        <v>862</v>
      </c>
      <c r="E25" s="76" t="s">
        <v>1823</v>
      </c>
      <c r="F25" s="76" t="s">
        <v>1823</v>
      </c>
      <c r="G25" s="76" t="s">
        <v>1843</v>
      </c>
      <c r="H25" s="1206"/>
      <c r="I25" s="1206"/>
      <c r="J25" s="865" t="s">
        <v>1826</v>
      </c>
      <c r="K25" s="866"/>
      <c r="M25" s="449" t="str">
        <f t="shared" si="0"/>
        <v>○</v>
      </c>
      <c r="N25" s="449" t="str">
        <f t="shared" si="1"/>
        <v>○</v>
      </c>
      <c r="P25" s="158"/>
      <c r="Q25" s="863"/>
    </row>
    <row r="26" spans="1:17" ht="26.4">
      <c r="A26" s="465" t="s">
        <v>798</v>
      </c>
      <c r="B26" s="1236" t="s">
        <v>1820</v>
      </c>
      <c r="C26" s="1236" t="s">
        <v>1824</v>
      </c>
      <c r="D26" s="76" t="s">
        <v>1820</v>
      </c>
      <c r="E26" s="76" t="s">
        <v>1820</v>
      </c>
      <c r="F26" s="76" t="s">
        <v>1820</v>
      </c>
      <c r="G26" s="76" t="s">
        <v>1843</v>
      </c>
      <c r="H26" s="1206"/>
      <c r="I26" s="1206"/>
      <c r="J26" s="865" t="s">
        <v>1825</v>
      </c>
      <c r="K26" s="866"/>
      <c r="M26" s="449" t="str">
        <f t="shared" si="0"/>
        <v>○</v>
      </c>
      <c r="N26" s="449" t="str">
        <f t="shared" si="1"/>
        <v>○</v>
      </c>
      <c r="P26" s="158"/>
      <c r="Q26" s="863"/>
    </row>
    <row r="27" spans="1:17">
      <c r="A27" s="465" t="s">
        <v>799</v>
      </c>
      <c r="B27" s="1236" t="s">
        <v>1820</v>
      </c>
      <c r="C27" s="1236" t="s">
        <v>1820</v>
      </c>
      <c r="D27" s="76" t="s">
        <v>1820</v>
      </c>
      <c r="E27" s="76" t="s">
        <v>1820</v>
      </c>
      <c r="F27" s="76" t="s">
        <v>1820</v>
      </c>
      <c r="G27" s="76" t="s">
        <v>1843</v>
      </c>
      <c r="H27" s="1206"/>
      <c r="I27" s="1206"/>
      <c r="J27" s="865" t="s">
        <v>1827</v>
      </c>
      <c r="K27" s="866"/>
      <c r="M27" s="449" t="str">
        <f t="shared" si="0"/>
        <v>○</v>
      </c>
      <c r="N27" s="449" t="str">
        <f t="shared" si="1"/>
        <v>○</v>
      </c>
      <c r="P27" s="158"/>
      <c r="Q27" s="863"/>
    </row>
    <row r="28" spans="1:17" ht="26.4">
      <c r="A28" s="465" t="s">
        <v>800</v>
      </c>
      <c r="B28" s="1236" t="s">
        <v>862</v>
      </c>
      <c r="C28" s="1236" t="s">
        <v>1823</v>
      </c>
      <c r="D28" s="76" t="s">
        <v>1823</v>
      </c>
      <c r="E28" s="1236" t="s">
        <v>1823</v>
      </c>
      <c r="F28" s="76" t="s">
        <v>1823</v>
      </c>
      <c r="G28" s="76" t="s">
        <v>1843</v>
      </c>
      <c r="H28" s="1206"/>
      <c r="I28" s="1206"/>
      <c r="J28" s="865" t="s">
        <v>1828</v>
      </c>
      <c r="K28" s="866"/>
      <c r="M28" s="449" t="str">
        <f t="shared" si="0"/>
        <v>○</v>
      </c>
      <c r="N28" s="449" t="str">
        <f t="shared" si="1"/>
        <v>○</v>
      </c>
      <c r="P28" s="158"/>
      <c r="Q28" s="863"/>
    </row>
    <row r="29" spans="1:17" ht="26.4">
      <c r="A29" s="465" t="s">
        <v>801</v>
      </c>
      <c r="B29" s="1236" t="s">
        <v>1820</v>
      </c>
      <c r="C29" s="1236" t="s">
        <v>1820</v>
      </c>
      <c r="D29" s="76" t="s">
        <v>1820</v>
      </c>
      <c r="E29" s="1236" t="s">
        <v>1820</v>
      </c>
      <c r="F29" s="76" t="s">
        <v>1820</v>
      </c>
      <c r="G29" s="76" t="s">
        <v>1843</v>
      </c>
      <c r="H29" s="1206"/>
      <c r="I29" s="1206"/>
      <c r="J29" s="865" t="s">
        <v>1828</v>
      </c>
      <c r="K29" s="866"/>
      <c r="M29" s="449" t="str">
        <f t="shared" si="0"/>
        <v>○</v>
      </c>
      <c r="N29" s="449" t="str">
        <f t="shared" si="1"/>
        <v>○</v>
      </c>
      <c r="P29" s="158"/>
      <c r="Q29" s="863"/>
    </row>
    <row r="30" spans="1:17" ht="26.4">
      <c r="A30" s="465" t="s">
        <v>802</v>
      </c>
      <c r="B30" s="1236" t="s">
        <v>1820</v>
      </c>
      <c r="C30" s="1236" t="s">
        <v>1820</v>
      </c>
      <c r="D30" s="76" t="s">
        <v>862</v>
      </c>
      <c r="E30" s="1236" t="s">
        <v>862</v>
      </c>
      <c r="F30" s="76" t="s">
        <v>862</v>
      </c>
      <c r="G30" s="76" t="s">
        <v>1843</v>
      </c>
      <c r="H30" s="1206"/>
      <c r="I30" s="1206"/>
      <c r="J30" s="865" t="s">
        <v>1828</v>
      </c>
      <c r="K30" s="866"/>
      <c r="M30" s="449" t="str">
        <f t="shared" si="0"/>
        <v>○</v>
      </c>
      <c r="N30" s="449" t="str">
        <f t="shared" si="1"/>
        <v>○</v>
      </c>
      <c r="P30" s="158"/>
      <c r="Q30" s="863"/>
    </row>
    <row r="31" spans="1:17" ht="26.4">
      <c r="A31" s="465" t="s">
        <v>803</v>
      </c>
      <c r="B31" s="1236" t="s">
        <v>862</v>
      </c>
      <c r="C31" s="1236" t="s">
        <v>862</v>
      </c>
      <c r="D31" s="76" t="s">
        <v>862</v>
      </c>
      <c r="E31" s="1236" t="s">
        <v>862</v>
      </c>
      <c r="F31" s="76" t="s">
        <v>862</v>
      </c>
      <c r="G31" s="76" t="s">
        <v>1843</v>
      </c>
      <c r="H31" s="1206"/>
      <c r="I31" s="1206"/>
      <c r="J31" s="865" t="s">
        <v>1828</v>
      </c>
      <c r="K31" s="866"/>
      <c r="M31" s="449" t="str">
        <f>IF(COUNTBLANK(B31:G31)=0,"○","×")</f>
        <v>○</v>
      </c>
      <c r="N31" s="449" t="str">
        <f t="shared" ref="N31" si="2">IF(AND(COUNTIF(B31:F31,"◎")&gt;=1,J31=""),"×","○")</f>
        <v>○</v>
      </c>
      <c r="P31" s="158"/>
      <c r="Q31" s="863"/>
    </row>
    <row r="32" spans="1:17">
      <c r="A32" s="465" t="s">
        <v>804</v>
      </c>
      <c r="B32" s="1236" t="s">
        <v>862</v>
      </c>
      <c r="C32" s="1236" t="s">
        <v>862</v>
      </c>
      <c r="D32" s="76" t="s">
        <v>862</v>
      </c>
      <c r="E32" s="1236" t="s">
        <v>862</v>
      </c>
      <c r="F32" s="76" t="s">
        <v>862</v>
      </c>
      <c r="G32" s="76" t="s">
        <v>1843</v>
      </c>
      <c r="H32" s="1206"/>
      <c r="I32" s="1206"/>
      <c r="J32" s="865" t="s">
        <v>1829</v>
      </c>
      <c r="K32" s="866"/>
      <c r="M32" s="449" t="str">
        <f t="shared" si="0"/>
        <v>○</v>
      </c>
      <c r="N32" s="449" t="str">
        <f t="shared" si="1"/>
        <v>○</v>
      </c>
      <c r="P32" s="158"/>
      <c r="Q32" s="863"/>
    </row>
    <row r="33" spans="1:17" ht="26.4">
      <c r="A33" s="465" t="s">
        <v>805</v>
      </c>
      <c r="B33" s="1236" t="s">
        <v>862</v>
      </c>
      <c r="C33" s="1236" t="s">
        <v>862</v>
      </c>
      <c r="D33" s="466"/>
      <c r="E33" s="1236" t="s">
        <v>862</v>
      </c>
      <c r="F33" s="76" t="s">
        <v>1823</v>
      </c>
      <c r="G33" s="76" t="s">
        <v>1843</v>
      </c>
      <c r="H33" s="1206"/>
      <c r="I33" s="1206"/>
      <c r="J33" s="865" t="s">
        <v>1830</v>
      </c>
      <c r="K33" s="866"/>
      <c r="M33" s="467" t="str">
        <f>IF(OR(B33="",C33="",E33="",F33="",G33=""),"×","○")</f>
        <v>○</v>
      </c>
      <c r="N33" s="449" t="str">
        <f t="shared" si="1"/>
        <v>○</v>
      </c>
      <c r="P33" s="158"/>
      <c r="Q33" s="863"/>
    </row>
    <row r="34" spans="1:17">
      <c r="A34" s="465" t="s">
        <v>806</v>
      </c>
      <c r="B34" s="1236" t="s">
        <v>862</v>
      </c>
      <c r="C34" s="1236" t="s">
        <v>862</v>
      </c>
      <c r="D34" s="1236" t="s">
        <v>862</v>
      </c>
      <c r="E34" s="1236" t="s">
        <v>862</v>
      </c>
      <c r="F34" s="76" t="s">
        <v>862</v>
      </c>
      <c r="G34" s="76" t="s">
        <v>1843</v>
      </c>
      <c r="H34" s="1206"/>
      <c r="I34" s="1206"/>
      <c r="J34" s="865" t="s">
        <v>1829</v>
      </c>
      <c r="K34" s="866"/>
      <c r="M34" s="449" t="str">
        <f t="shared" si="0"/>
        <v>○</v>
      </c>
      <c r="N34" s="449" t="str">
        <f t="shared" si="1"/>
        <v>○</v>
      </c>
      <c r="P34" s="158"/>
      <c r="Q34" s="863"/>
    </row>
    <row r="35" spans="1:17" ht="26.4">
      <c r="A35" s="465" t="s">
        <v>807</v>
      </c>
      <c r="B35" s="1236" t="s">
        <v>862</v>
      </c>
      <c r="C35" s="1236" t="s">
        <v>862</v>
      </c>
      <c r="D35" s="1236" t="s">
        <v>862</v>
      </c>
      <c r="E35" s="1236" t="s">
        <v>862</v>
      </c>
      <c r="F35" s="76" t="s">
        <v>862</v>
      </c>
      <c r="G35" s="76" t="s">
        <v>1843</v>
      </c>
      <c r="H35" s="1206"/>
      <c r="I35" s="1206"/>
      <c r="J35" s="865" t="s">
        <v>1828</v>
      </c>
      <c r="K35" s="866"/>
      <c r="M35" s="449" t="str">
        <f t="shared" si="0"/>
        <v>○</v>
      </c>
      <c r="N35" s="449" t="str">
        <f t="shared" si="1"/>
        <v>○</v>
      </c>
      <c r="P35" s="158"/>
      <c r="Q35" s="863"/>
    </row>
    <row r="36" spans="1:17">
      <c r="A36" s="465" t="s">
        <v>808</v>
      </c>
      <c r="B36" s="1236" t="s">
        <v>1823</v>
      </c>
      <c r="C36" s="1236" t="s">
        <v>1823</v>
      </c>
      <c r="D36" s="1236" t="s">
        <v>1823</v>
      </c>
      <c r="E36" s="1236" t="s">
        <v>1823</v>
      </c>
      <c r="F36" s="76" t="s">
        <v>1823</v>
      </c>
      <c r="G36" s="76" t="s">
        <v>1843</v>
      </c>
      <c r="H36" s="1206"/>
      <c r="I36" s="1206"/>
      <c r="J36" s="865"/>
      <c r="K36" s="866"/>
      <c r="M36" s="449" t="str">
        <f t="shared" si="0"/>
        <v>○</v>
      </c>
      <c r="N36" s="449" t="str">
        <f t="shared" si="1"/>
        <v>○</v>
      </c>
      <c r="P36" s="158"/>
      <c r="Q36" s="863"/>
    </row>
    <row r="37" spans="1:17" ht="26.4">
      <c r="A37" s="465" t="s">
        <v>809</v>
      </c>
      <c r="B37" s="1236" t="s">
        <v>1820</v>
      </c>
      <c r="C37" s="76" t="s">
        <v>1820</v>
      </c>
      <c r="D37" s="1236" t="s">
        <v>1820</v>
      </c>
      <c r="E37" s="1236" t="s">
        <v>1820</v>
      </c>
      <c r="F37" s="1237" t="s">
        <v>1820</v>
      </c>
      <c r="G37" s="76" t="s">
        <v>1843</v>
      </c>
      <c r="H37" s="1206"/>
      <c r="I37" s="1206"/>
      <c r="J37" s="865" t="s">
        <v>1831</v>
      </c>
      <c r="K37" s="866"/>
      <c r="M37" s="449" t="str">
        <f t="shared" si="0"/>
        <v>○</v>
      </c>
      <c r="N37" s="449" t="str">
        <f t="shared" si="1"/>
        <v>○</v>
      </c>
      <c r="P37" s="158"/>
      <c r="Q37" s="863"/>
    </row>
    <row r="38" spans="1:17" ht="26.4">
      <c r="A38" s="465" t="s">
        <v>810</v>
      </c>
      <c r="B38" s="1236" t="s">
        <v>1820</v>
      </c>
      <c r="C38" s="76" t="s">
        <v>1820</v>
      </c>
      <c r="D38" s="1236" t="s">
        <v>1820</v>
      </c>
      <c r="E38" s="1236" t="s">
        <v>1820</v>
      </c>
      <c r="F38" s="1237" t="s">
        <v>1820</v>
      </c>
      <c r="G38" s="76" t="s">
        <v>1843</v>
      </c>
      <c r="H38" s="1206"/>
      <c r="I38" s="1206"/>
      <c r="J38" s="865" t="s">
        <v>1831</v>
      </c>
      <c r="K38" s="866"/>
      <c r="M38" s="449" t="str">
        <f t="shared" si="0"/>
        <v>○</v>
      </c>
      <c r="N38" s="449" t="str">
        <f t="shared" si="1"/>
        <v>○</v>
      </c>
      <c r="P38" s="158"/>
      <c r="Q38" s="863"/>
    </row>
    <row r="39" spans="1:17" ht="26.4">
      <c r="A39" s="465" t="s">
        <v>811</v>
      </c>
      <c r="B39" s="1236" t="s">
        <v>862</v>
      </c>
      <c r="C39" s="76" t="s">
        <v>1820</v>
      </c>
      <c r="D39" s="1236" t="s">
        <v>1820</v>
      </c>
      <c r="E39" s="1236" t="s">
        <v>1820</v>
      </c>
      <c r="F39" s="1237" t="s">
        <v>1820</v>
      </c>
      <c r="G39" s="76" t="s">
        <v>1843</v>
      </c>
      <c r="H39" s="1206"/>
      <c r="I39" s="1206"/>
      <c r="J39" s="865" t="s">
        <v>1831</v>
      </c>
      <c r="K39" s="866"/>
      <c r="M39" s="449" t="str">
        <f t="shared" si="0"/>
        <v>○</v>
      </c>
      <c r="N39" s="449" t="str">
        <f t="shared" si="1"/>
        <v>○</v>
      </c>
      <c r="P39" s="158"/>
      <c r="Q39" s="863"/>
    </row>
    <row r="40" spans="1:17" ht="26.4">
      <c r="A40" s="465" t="s">
        <v>812</v>
      </c>
      <c r="B40" s="1236" t="s">
        <v>1820</v>
      </c>
      <c r="C40" s="76" t="s">
        <v>1820</v>
      </c>
      <c r="D40" s="1236" t="s">
        <v>1820</v>
      </c>
      <c r="E40" s="1236" t="s">
        <v>1820</v>
      </c>
      <c r="F40" s="1237" t="s">
        <v>1820</v>
      </c>
      <c r="G40" s="76" t="s">
        <v>1843</v>
      </c>
      <c r="H40" s="1206"/>
      <c r="I40" s="1206"/>
      <c r="J40" s="865" t="s">
        <v>1831</v>
      </c>
      <c r="K40" s="866"/>
      <c r="M40" s="449" t="str">
        <f t="shared" si="0"/>
        <v>○</v>
      </c>
      <c r="N40" s="449" t="str">
        <f t="shared" si="1"/>
        <v>○</v>
      </c>
      <c r="P40" s="158"/>
      <c r="Q40" s="863"/>
    </row>
    <row r="41" spans="1:17">
      <c r="A41" s="465" t="s">
        <v>813</v>
      </c>
      <c r="B41" s="1236" t="s">
        <v>1820</v>
      </c>
      <c r="C41" s="76" t="s">
        <v>1820</v>
      </c>
      <c r="D41" s="1236" t="s">
        <v>1820</v>
      </c>
      <c r="E41" s="1236" t="s">
        <v>1820</v>
      </c>
      <c r="F41" s="1237" t="s">
        <v>1820</v>
      </c>
      <c r="G41" s="76" t="s">
        <v>1843</v>
      </c>
      <c r="H41" s="1206"/>
      <c r="I41" s="1206"/>
      <c r="J41" s="865" t="s">
        <v>1832</v>
      </c>
      <c r="K41" s="866"/>
      <c r="M41" s="449" t="str">
        <f>IF(COUNTBLANK(B41:G41)=0,"○","×")</f>
        <v>○</v>
      </c>
      <c r="N41" s="449" t="str">
        <f t="shared" si="1"/>
        <v>○</v>
      </c>
      <c r="P41" s="158"/>
      <c r="Q41" s="863"/>
    </row>
    <row r="42" spans="1:17" ht="26.4">
      <c r="A42" s="465" t="s">
        <v>814</v>
      </c>
      <c r="B42" s="1236" t="s">
        <v>1820</v>
      </c>
      <c r="C42" s="76" t="s">
        <v>1820</v>
      </c>
      <c r="D42" s="466"/>
      <c r="E42" s="1236" t="s">
        <v>1820</v>
      </c>
      <c r="F42" s="1237" t="s">
        <v>1820</v>
      </c>
      <c r="G42" s="76" t="s">
        <v>1843</v>
      </c>
      <c r="H42" s="1206"/>
      <c r="I42" s="1206"/>
      <c r="J42" s="865" t="s">
        <v>1831</v>
      </c>
      <c r="K42" s="866"/>
      <c r="M42" s="467" t="str">
        <f>IF(OR(B42="",C42="",E42="",F42="",G42=""),"×","○")</f>
        <v>○</v>
      </c>
      <c r="N42" s="449" t="str">
        <f t="shared" si="1"/>
        <v>○</v>
      </c>
      <c r="P42" s="158"/>
      <c r="Q42" s="863"/>
    </row>
    <row r="43" spans="1:17" ht="26.4">
      <c r="A43" s="465" t="s">
        <v>815</v>
      </c>
      <c r="B43" s="1236" t="s">
        <v>1820</v>
      </c>
      <c r="C43" s="76" t="s">
        <v>1820</v>
      </c>
      <c r="D43" s="1236" t="s">
        <v>1820</v>
      </c>
      <c r="E43" s="1236" t="s">
        <v>1820</v>
      </c>
      <c r="F43" s="1237" t="s">
        <v>1820</v>
      </c>
      <c r="G43" s="76" t="s">
        <v>1843</v>
      </c>
      <c r="H43" s="1206" t="s">
        <v>816</v>
      </c>
      <c r="I43" s="1206"/>
      <c r="J43" s="865" t="s">
        <v>1831</v>
      </c>
      <c r="K43" s="866"/>
      <c r="M43" s="449" t="str">
        <f t="shared" si="0"/>
        <v>○</v>
      </c>
      <c r="N43" s="449" t="str">
        <f t="shared" si="1"/>
        <v>○</v>
      </c>
      <c r="P43" s="158"/>
      <c r="Q43" s="863"/>
    </row>
    <row r="44" spans="1:17" ht="26.4">
      <c r="A44" s="465" t="s">
        <v>817</v>
      </c>
      <c r="B44" s="1236" t="s">
        <v>1820</v>
      </c>
      <c r="C44" s="76" t="s">
        <v>1820</v>
      </c>
      <c r="D44" s="1236" t="s">
        <v>1820</v>
      </c>
      <c r="E44" s="1236" t="s">
        <v>1820</v>
      </c>
      <c r="F44" s="1237" t="s">
        <v>1820</v>
      </c>
      <c r="G44" s="76" t="s">
        <v>1843</v>
      </c>
      <c r="H44" s="1206"/>
      <c r="I44" s="1206"/>
      <c r="J44" s="865" t="s">
        <v>1831</v>
      </c>
      <c r="K44" s="866"/>
      <c r="M44" s="449" t="str">
        <f t="shared" si="0"/>
        <v>○</v>
      </c>
      <c r="N44" s="449" t="str">
        <f t="shared" si="1"/>
        <v>○</v>
      </c>
      <c r="P44" s="158"/>
      <c r="Q44" s="863"/>
    </row>
    <row r="45" spans="1:17" ht="26.4">
      <c r="A45" s="465" t="s">
        <v>818</v>
      </c>
      <c r="B45" s="1236" t="s">
        <v>1820</v>
      </c>
      <c r="C45" s="76" t="s">
        <v>1820</v>
      </c>
      <c r="D45" s="1236" t="s">
        <v>1820</v>
      </c>
      <c r="E45" s="1236" t="s">
        <v>1820</v>
      </c>
      <c r="F45" s="1237" t="s">
        <v>1820</v>
      </c>
      <c r="G45" s="76" t="s">
        <v>1843</v>
      </c>
      <c r="H45" s="1206" t="s">
        <v>819</v>
      </c>
      <c r="I45" s="1206"/>
      <c r="J45" s="865" t="s">
        <v>1831</v>
      </c>
      <c r="K45" s="866"/>
      <c r="M45" s="449" t="str">
        <f t="shared" si="0"/>
        <v>○</v>
      </c>
      <c r="N45" s="449" t="str">
        <f t="shared" si="1"/>
        <v>○</v>
      </c>
      <c r="P45" s="158"/>
      <c r="Q45" s="863"/>
    </row>
    <row r="46" spans="1:17" ht="26.4">
      <c r="A46" s="465" t="s">
        <v>820</v>
      </c>
      <c r="B46" s="1236" t="s">
        <v>1820</v>
      </c>
      <c r="C46" s="76" t="s">
        <v>1820</v>
      </c>
      <c r="D46" s="1236" t="s">
        <v>1820</v>
      </c>
      <c r="E46" s="1236" t="s">
        <v>1820</v>
      </c>
      <c r="F46" s="1237" t="s">
        <v>1820</v>
      </c>
      <c r="G46" s="76" t="s">
        <v>1843</v>
      </c>
      <c r="H46" s="1206"/>
      <c r="I46" s="1206"/>
      <c r="J46" s="865" t="s">
        <v>1831</v>
      </c>
      <c r="K46" s="866"/>
      <c r="M46" s="449" t="str">
        <f t="shared" si="0"/>
        <v>○</v>
      </c>
      <c r="N46" s="449" t="str">
        <f t="shared" si="1"/>
        <v>○</v>
      </c>
      <c r="P46" s="158"/>
      <c r="Q46" s="863"/>
    </row>
    <row r="47" spans="1:17">
      <c r="A47" s="465" t="s">
        <v>821</v>
      </c>
      <c r="B47" s="1236" t="s">
        <v>1820</v>
      </c>
      <c r="C47" s="76" t="s">
        <v>1820</v>
      </c>
      <c r="D47" s="1236" t="s">
        <v>1820</v>
      </c>
      <c r="E47" s="1236" t="s">
        <v>1820</v>
      </c>
      <c r="F47" s="1237" t="s">
        <v>1820</v>
      </c>
      <c r="G47" s="76" t="s">
        <v>1843</v>
      </c>
      <c r="H47" s="1206" t="s">
        <v>816</v>
      </c>
      <c r="I47" s="1206"/>
      <c r="J47" s="865" t="s">
        <v>1832</v>
      </c>
      <c r="K47" s="866"/>
      <c r="M47" s="449" t="str">
        <f t="shared" si="0"/>
        <v>○</v>
      </c>
      <c r="N47" s="449" t="str">
        <f t="shared" si="1"/>
        <v>○</v>
      </c>
      <c r="P47" s="158"/>
      <c r="Q47" s="863"/>
    </row>
    <row r="48" spans="1:17">
      <c r="A48" s="465" t="s">
        <v>822</v>
      </c>
      <c r="B48" s="1236" t="s">
        <v>862</v>
      </c>
      <c r="C48" s="76" t="s">
        <v>862</v>
      </c>
      <c r="D48" s="466"/>
      <c r="E48" s="1236" t="s">
        <v>862</v>
      </c>
      <c r="F48" s="1237" t="s">
        <v>862</v>
      </c>
      <c r="G48" s="76" t="s">
        <v>1843</v>
      </c>
      <c r="H48" s="1207"/>
      <c r="I48" s="1207"/>
      <c r="J48" s="865" t="s">
        <v>1832</v>
      </c>
      <c r="K48" s="866"/>
      <c r="M48" s="467" t="str">
        <f>IF(OR(B48="",C48="",E48="",F48="",G48=""),"×","○")</f>
        <v>○</v>
      </c>
      <c r="N48" s="449" t="str">
        <f t="shared" si="1"/>
        <v>○</v>
      </c>
      <c r="P48" s="158"/>
      <c r="Q48" s="863"/>
    </row>
    <row r="49" spans="1:17">
      <c r="A49" s="465" t="s">
        <v>823</v>
      </c>
      <c r="B49" s="1236" t="s">
        <v>862</v>
      </c>
      <c r="C49" s="76" t="s">
        <v>862</v>
      </c>
      <c r="D49" s="1236" t="s">
        <v>862</v>
      </c>
      <c r="E49" s="1236" t="s">
        <v>862</v>
      </c>
      <c r="F49" s="1237" t="s">
        <v>862</v>
      </c>
      <c r="G49" s="76" t="s">
        <v>1843</v>
      </c>
      <c r="H49" s="1207"/>
      <c r="I49" s="1207"/>
      <c r="J49" s="865" t="s">
        <v>1832</v>
      </c>
      <c r="K49" s="866"/>
      <c r="M49" s="449" t="str">
        <f t="shared" si="0"/>
        <v>○</v>
      </c>
      <c r="N49" s="449" t="str">
        <f t="shared" si="1"/>
        <v>○</v>
      </c>
      <c r="P49" s="158"/>
      <c r="Q49" s="863"/>
    </row>
    <row r="50" spans="1:17" ht="26.4">
      <c r="A50" s="465" t="s">
        <v>824</v>
      </c>
      <c r="B50" s="1236" t="s">
        <v>862</v>
      </c>
      <c r="C50" s="76" t="s">
        <v>862</v>
      </c>
      <c r="D50" s="1236" t="s">
        <v>862</v>
      </c>
      <c r="E50" s="1236" t="s">
        <v>862</v>
      </c>
      <c r="F50" s="1237" t="s">
        <v>862</v>
      </c>
      <c r="G50" s="76" t="s">
        <v>1843</v>
      </c>
      <c r="H50" s="1206"/>
      <c r="I50" s="1206"/>
      <c r="J50" s="865" t="s">
        <v>1833</v>
      </c>
      <c r="K50" s="866"/>
      <c r="M50" s="449" t="str">
        <f t="shared" si="0"/>
        <v>○</v>
      </c>
      <c r="N50" s="449" t="str">
        <f t="shared" si="1"/>
        <v>○</v>
      </c>
      <c r="P50" s="158"/>
      <c r="Q50" s="863"/>
    </row>
    <row r="51" spans="1:17">
      <c r="A51" s="465" t="s">
        <v>825</v>
      </c>
      <c r="B51" s="1236" t="s">
        <v>1820</v>
      </c>
      <c r="C51" s="1236" t="s">
        <v>1820</v>
      </c>
      <c r="D51" s="466"/>
      <c r="E51" s="1236" t="s">
        <v>1820</v>
      </c>
      <c r="F51" s="1237" t="s">
        <v>1820</v>
      </c>
      <c r="G51" s="76" t="s">
        <v>1843</v>
      </c>
      <c r="H51" s="1206"/>
      <c r="I51" s="1206"/>
      <c r="J51" s="865" t="s">
        <v>1834</v>
      </c>
      <c r="K51" s="866"/>
      <c r="M51" s="467" t="str">
        <f>IF(OR(B51="",C51="",E51="",F51="",G51=""),"×","○")</f>
        <v>○</v>
      </c>
      <c r="N51" s="449" t="str">
        <f t="shared" si="1"/>
        <v>○</v>
      </c>
      <c r="P51" s="158"/>
      <c r="Q51" s="863"/>
    </row>
    <row r="52" spans="1:17">
      <c r="A52" s="465" t="s">
        <v>826</v>
      </c>
      <c r="B52" s="1236" t="s">
        <v>1820</v>
      </c>
      <c r="C52" s="1236" t="s">
        <v>1820</v>
      </c>
      <c r="D52" s="1236" t="s">
        <v>1820</v>
      </c>
      <c r="E52" s="1236" t="s">
        <v>1820</v>
      </c>
      <c r="F52" s="1237" t="s">
        <v>1823</v>
      </c>
      <c r="G52" s="76" t="s">
        <v>1843</v>
      </c>
      <c r="H52" s="1206"/>
      <c r="I52" s="1206"/>
      <c r="J52" s="865" t="s">
        <v>1834</v>
      </c>
      <c r="K52" s="866"/>
      <c r="M52" s="449" t="str">
        <f>IF(COUNTBLANK(B52:G52)=0,"○","×")</f>
        <v>○</v>
      </c>
      <c r="N52" s="449" t="str">
        <f t="shared" si="1"/>
        <v>○</v>
      </c>
      <c r="P52" s="158"/>
      <c r="Q52" s="863"/>
    </row>
    <row r="53" spans="1:17">
      <c r="A53" s="465" t="s">
        <v>827</v>
      </c>
      <c r="B53" s="1236" t="s">
        <v>1820</v>
      </c>
      <c r="C53" s="1236" t="s">
        <v>1820</v>
      </c>
      <c r="D53" s="1236" t="s">
        <v>1820</v>
      </c>
      <c r="E53" s="1236" t="s">
        <v>1820</v>
      </c>
      <c r="F53" s="1237" t="s">
        <v>1820</v>
      </c>
      <c r="G53" s="76" t="s">
        <v>1843</v>
      </c>
      <c r="H53" s="1206"/>
      <c r="I53" s="1206"/>
      <c r="J53" s="865" t="s">
        <v>1834</v>
      </c>
      <c r="K53" s="866"/>
      <c r="M53" s="449" t="str">
        <f t="shared" si="0"/>
        <v>○</v>
      </c>
      <c r="N53" s="449" t="str">
        <f t="shared" si="1"/>
        <v>○</v>
      </c>
      <c r="P53" s="158"/>
      <c r="Q53" s="863"/>
    </row>
    <row r="54" spans="1:17">
      <c r="A54" s="465" t="s">
        <v>828</v>
      </c>
      <c r="B54" s="1236" t="s">
        <v>1820</v>
      </c>
      <c r="C54" s="1236" t="s">
        <v>1820</v>
      </c>
      <c r="D54" s="1236" t="s">
        <v>1820</v>
      </c>
      <c r="E54" s="1236" t="s">
        <v>1820</v>
      </c>
      <c r="F54" s="1237" t="s">
        <v>1820</v>
      </c>
      <c r="G54" s="76" t="s">
        <v>1843</v>
      </c>
      <c r="H54" s="1206" t="s">
        <v>829</v>
      </c>
      <c r="I54" s="1206"/>
      <c r="J54" s="865" t="s">
        <v>1834</v>
      </c>
      <c r="K54" s="866"/>
      <c r="M54" s="449" t="str">
        <f t="shared" si="0"/>
        <v>○</v>
      </c>
      <c r="N54" s="449" t="str">
        <f t="shared" si="1"/>
        <v>○</v>
      </c>
      <c r="P54" s="158"/>
      <c r="Q54" s="863"/>
    </row>
    <row r="55" spans="1:17">
      <c r="A55" s="465" t="s">
        <v>830</v>
      </c>
      <c r="B55" s="1236" t="s">
        <v>1820</v>
      </c>
      <c r="C55" s="1236" t="s">
        <v>1820</v>
      </c>
      <c r="D55" s="1236" t="s">
        <v>1820</v>
      </c>
      <c r="E55" s="1236" t="s">
        <v>1820</v>
      </c>
      <c r="F55" s="1237" t="s">
        <v>862</v>
      </c>
      <c r="G55" s="76" t="s">
        <v>1843</v>
      </c>
      <c r="H55" s="1206"/>
      <c r="I55" s="1206"/>
      <c r="J55" s="865" t="s">
        <v>1834</v>
      </c>
      <c r="K55" s="866"/>
      <c r="M55" s="449" t="str">
        <f t="shared" si="0"/>
        <v>○</v>
      </c>
      <c r="N55" s="449" t="str">
        <f t="shared" si="1"/>
        <v>○</v>
      </c>
      <c r="P55" s="158"/>
      <c r="Q55" s="863"/>
    </row>
    <row r="56" spans="1:17">
      <c r="A56" s="465" t="s">
        <v>831</v>
      </c>
      <c r="B56" s="1236" t="s">
        <v>1820</v>
      </c>
      <c r="C56" s="1236" t="s">
        <v>1820</v>
      </c>
      <c r="D56" s="1236" t="s">
        <v>1820</v>
      </c>
      <c r="E56" s="1236" t="s">
        <v>1820</v>
      </c>
      <c r="F56" s="1237" t="s">
        <v>1820</v>
      </c>
      <c r="G56" s="76" t="s">
        <v>1843</v>
      </c>
      <c r="H56" s="1206"/>
      <c r="I56" s="1206"/>
      <c r="J56" s="865" t="s">
        <v>1834</v>
      </c>
      <c r="K56" s="866"/>
      <c r="M56" s="449" t="str">
        <f t="shared" si="0"/>
        <v>○</v>
      </c>
      <c r="N56" s="449" t="str">
        <f t="shared" si="1"/>
        <v>○</v>
      </c>
      <c r="P56" s="158"/>
      <c r="Q56" s="863"/>
    </row>
    <row r="57" spans="1:17">
      <c r="A57" s="465" t="s">
        <v>832</v>
      </c>
      <c r="B57" s="1236" t="s">
        <v>1820</v>
      </c>
      <c r="C57" s="1236" t="s">
        <v>1820</v>
      </c>
      <c r="D57" s="1236" t="s">
        <v>1820</v>
      </c>
      <c r="E57" s="1236" t="s">
        <v>1820</v>
      </c>
      <c r="F57" s="1237" t="s">
        <v>1820</v>
      </c>
      <c r="G57" s="76" t="s">
        <v>1843</v>
      </c>
      <c r="H57" s="1206"/>
      <c r="I57" s="1206"/>
      <c r="J57" s="865" t="s">
        <v>1835</v>
      </c>
      <c r="K57" s="866"/>
      <c r="M57" s="449" t="str">
        <f t="shared" si="0"/>
        <v>○</v>
      </c>
      <c r="N57" s="449" t="str">
        <f t="shared" si="1"/>
        <v>○</v>
      </c>
      <c r="P57" s="158"/>
      <c r="Q57" s="863"/>
    </row>
    <row r="58" spans="1:17">
      <c r="A58" s="465" t="s">
        <v>833</v>
      </c>
      <c r="B58" s="1236" t="s">
        <v>1820</v>
      </c>
      <c r="C58" s="1236" t="s">
        <v>1820</v>
      </c>
      <c r="D58" s="1236" t="s">
        <v>1820</v>
      </c>
      <c r="E58" s="1236" t="s">
        <v>1820</v>
      </c>
      <c r="F58" s="1237" t="s">
        <v>1820</v>
      </c>
      <c r="G58" s="76" t="s">
        <v>1843</v>
      </c>
      <c r="H58" s="1206"/>
      <c r="I58" s="1206"/>
      <c r="J58" s="865" t="s">
        <v>1835</v>
      </c>
      <c r="K58" s="866"/>
      <c r="M58" s="449" t="str">
        <f t="shared" si="0"/>
        <v>○</v>
      </c>
      <c r="N58" s="449" t="str">
        <f t="shared" si="1"/>
        <v>○</v>
      </c>
      <c r="P58" s="158"/>
      <c r="Q58" s="863"/>
    </row>
    <row r="59" spans="1:17">
      <c r="A59" s="465" t="s">
        <v>834</v>
      </c>
      <c r="B59" s="1236" t="s">
        <v>1820</v>
      </c>
      <c r="C59" s="1236" t="s">
        <v>1820</v>
      </c>
      <c r="D59" s="1236" t="s">
        <v>1820</v>
      </c>
      <c r="E59" s="1236" t="s">
        <v>1820</v>
      </c>
      <c r="F59" s="1237" t="s">
        <v>1820</v>
      </c>
      <c r="G59" s="76" t="s">
        <v>1843</v>
      </c>
      <c r="H59" s="1206"/>
      <c r="I59" s="1206"/>
      <c r="J59" s="865" t="s">
        <v>1835</v>
      </c>
      <c r="K59" s="866"/>
      <c r="M59" s="449" t="str">
        <f t="shared" si="0"/>
        <v>○</v>
      </c>
      <c r="N59" s="449" t="str">
        <f t="shared" si="1"/>
        <v>○</v>
      </c>
      <c r="P59" s="158"/>
      <c r="Q59" s="863"/>
    </row>
    <row r="60" spans="1:17">
      <c r="A60" s="465" t="s">
        <v>835</v>
      </c>
      <c r="B60" s="1236" t="s">
        <v>1820</v>
      </c>
      <c r="C60" s="1236" t="s">
        <v>1820</v>
      </c>
      <c r="D60" s="466"/>
      <c r="E60" s="1236" t="s">
        <v>1820</v>
      </c>
      <c r="F60" s="1237" t="s">
        <v>1820</v>
      </c>
      <c r="G60" s="76" t="s">
        <v>1843</v>
      </c>
      <c r="H60" s="1206"/>
      <c r="I60" s="1206"/>
      <c r="J60" s="865" t="s">
        <v>1835</v>
      </c>
      <c r="K60" s="866"/>
      <c r="M60" s="467" t="str">
        <f>IF(OR(B60="",C60="",E60="",F60="",G60=""),"×","○")</f>
        <v>○</v>
      </c>
      <c r="N60" s="449" t="str">
        <f t="shared" si="1"/>
        <v>○</v>
      </c>
      <c r="P60" s="158"/>
      <c r="Q60" s="863"/>
    </row>
    <row r="61" spans="1:17">
      <c r="A61" s="468" t="s">
        <v>836</v>
      </c>
      <c r="B61" s="1236" t="s">
        <v>1820</v>
      </c>
      <c r="C61" s="1236" t="s">
        <v>1820</v>
      </c>
      <c r="D61" s="466"/>
      <c r="E61" s="1236" t="s">
        <v>1820</v>
      </c>
      <c r="F61" s="1237" t="s">
        <v>1820</v>
      </c>
      <c r="G61" s="76" t="s">
        <v>1843</v>
      </c>
      <c r="H61" s="1206"/>
      <c r="I61" s="1206"/>
      <c r="J61" s="865" t="s">
        <v>1835</v>
      </c>
      <c r="K61" s="866"/>
      <c r="L61" s="469"/>
      <c r="M61" s="467" t="str">
        <f>IF(OR(B61="",C61="",E61="",F61="",G61=""),"×","○")</f>
        <v>○</v>
      </c>
      <c r="N61" s="449" t="str">
        <f t="shared" si="1"/>
        <v>○</v>
      </c>
      <c r="P61" s="158"/>
      <c r="Q61" s="863"/>
    </row>
    <row r="62" spans="1:17">
      <c r="A62" s="465" t="s">
        <v>837</v>
      </c>
      <c r="B62" s="1236" t="s">
        <v>862</v>
      </c>
      <c r="C62" s="1236" t="s">
        <v>862</v>
      </c>
      <c r="D62" s="1236" t="s">
        <v>862</v>
      </c>
      <c r="E62" s="1236" t="s">
        <v>862</v>
      </c>
      <c r="F62" s="1237" t="s">
        <v>862</v>
      </c>
      <c r="G62" s="76" t="s">
        <v>1843</v>
      </c>
      <c r="H62" s="1206"/>
      <c r="I62" s="1206"/>
      <c r="J62" s="865" t="s">
        <v>1835</v>
      </c>
      <c r="K62" s="866"/>
      <c r="L62" s="469"/>
      <c r="M62" s="449" t="str">
        <f t="shared" si="0"/>
        <v>○</v>
      </c>
      <c r="N62" s="449" t="str">
        <f t="shared" si="1"/>
        <v>○</v>
      </c>
      <c r="P62" s="158"/>
      <c r="Q62" s="863"/>
    </row>
    <row r="63" spans="1:17">
      <c r="A63" s="465" t="s">
        <v>838</v>
      </c>
      <c r="B63" s="1236" t="s">
        <v>1823</v>
      </c>
      <c r="C63" s="1236" t="s">
        <v>1823</v>
      </c>
      <c r="D63" s="1236" t="s">
        <v>1823</v>
      </c>
      <c r="E63" s="1236" t="s">
        <v>1823</v>
      </c>
      <c r="F63" s="1237" t="s">
        <v>1823</v>
      </c>
      <c r="G63" s="76" t="s">
        <v>1843</v>
      </c>
      <c r="H63" s="1206"/>
      <c r="I63" s="1206"/>
      <c r="J63" s="865" t="s">
        <v>1836</v>
      </c>
      <c r="K63" s="866"/>
      <c r="L63" s="469"/>
      <c r="M63" s="449" t="str">
        <f t="shared" si="0"/>
        <v>○</v>
      </c>
      <c r="N63" s="449" t="str">
        <f t="shared" si="1"/>
        <v>○</v>
      </c>
      <c r="P63" s="158"/>
      <c r="Q63" s="863"/>
    </row>
    <row r="64" spans="1:17">
      <c r="A64" s="465" t="s">
        <v>839</v>
      </c>
      <c r="B64" s="1236" t="s">
        <v>1823</v>
      </c>
      <c r="C64" s="1236" t="s">
        <v>1823</v>
      </c>
      <c r="D64" s="1236" t="s">
        <v>1823</v>
      </c>
      <c r="E64" s="1236" t="s">
        <v>1823</v>
      </c>
      <c r="F64" s="1237" t="s">
        <v>1823</v>
      </c>
      <c r="G64" s="76" t="s">
        <v>1843</v>
      </c>
      <c r="H64" s="1206"/>
      <c r="I64" s="1206"/>
      <c r="J64" s="865" t="s">
        <v>1837</v>
      </c>
      <c r="K64" s="866"/>
      <c r="L64" s="469"/>
      <c r="M64" s="449" t="str">
        <f t="shared" si="0"/>
        <v>○</v>
      </c>
      <c r="N64" s="449" t="str">
        <f t="shared" si="1"/>
        <v>○</v>
      </c>
      <c r="P64" s="158"/>
      <c r="Q64" s="863"/>
    </row>
    <row r="65" spans="1:17">
      <c r="A65" s="465" t="s">
        <v>840</v>
      </c>
      <c r="B65" s="1236" t="s">
        <v>1823</v>
      </c>
      <c r="C65" s="1236" t="s">
        <v>1823</v>
      </c>
      <c r="D65" s="1236" t="s">
        <v>1823</v>
      </c>
      <c r="E65" s="1236" t="s">
        <v>1823</v>
      </c>
      <c r="F65" s="1237" t="s">
        <v>1823</v>
      </c>
      <c r="G65" s="76" t="s">
        <v>1843</v>
      </c>
      <c r="H65" s="1206"/>
      <c r="I65" s="1206"/>
      <c r="J65" s="865" t="s">
        <v>1837</v>
      </c>
      <c r="K65" s="866"/>
      <c r="L65" s="469"/>
      <c r="M65" s="449" t="str">
        <f>IF(COUNTBLANK(B65:G65)=0,"○","×")</f>
        <v>○</v>
      </c>
      <c r="N65" s="449" t="str">
        <f t="shared" ref="N65" si="3">IF(AND(COUNTIF(B65:F65,"◎")&gt;=1,J65=""),"×","○")</f>
        <v>○</v>
      </c>
      <c r="P65" s="158"/>
      <c r="Q65" s="863"/>
    </row>
    <row r="66" spans="1:17">
      <c r="A66" s="465" t="s">
        <v>841</v>
      </c>
      <c r="B66" s="1236" t="s">
        <v>1823</v>
      </c>
      <c r="C66" s="1236" t="s">
        <v>1823</v>
      </c>
      <c r="D66" s="1236" t="s">
        <v>1823</v>
      </c>
      <c r="E66" s="1236" t="s">
        <v>1823</v>
      </c>
      <c r="F66" s="1237" t="s">
        <v>1823</v>
      </c>
      <c r="G66" s="76" t="s">
        <v>1843</v>
      </c>
      <c r="H66" s="1206"/>
      <c r="I66" s="1206"/>
      <c r="J66" s="865" t="s">
        <v>1838</v>
      </c>
      <c r="K66" s="866"/>
      <c r="L66" s="469"/>
      <c r="M66" s="449" t="str">
        <f t="shared" si="0"/>
        <v>○</v>
      </c>
      <c r="N66" s="449" t="str">
        <f t="shared" si="1"/>
        <v>○</v>
      </c>
      <c r="P66" s="158"/>
      <c r="Q66" s="863"/>
    </row>
    <row r="67" spans="1:17" ht="26.4">
      <c r="A67" s="465" t="s">
        <v>842</v>
      </c>
      <c r="B67" s="1236" t="s">
        <v>862</v>
      </c>
      <c r="C67" s="1236" t="s">
        <v>862</v>
      </c>
      <c r="D67" s="1236" t="s">
        <v>862</v>
      </c>
      <c r="E67" s="1236" t="s">
        <v>862</v>
      </c>
      <c r="F67" s="1237" t="s">
        <v>862</v>
      </c>
      <c r="G67" s="76" t="s">
        <v>1843</v>
      </c>
      <c r="H67" s="1206"/>
      <c r="I67" s="1206"/>
      <c r="J67" s="865" t="s">
        <v>1839</v>
      </c>
      <c r="K67" s="866"/>
      <c r="L67" s="469"/>
      <c r="M67" s="449" t="str">
        <f t="shared" si="0"/>
        <v>○</v>
      </c>
      <c r="N67" s="449" t="str">
        <f t="shared" si="1"/>
        <v>○</v>
      </c>
      <c r="P67" s="158"/>
      <c r="Q67" s="863"/>
    </row>
    <row r="68" spans="1:17" ht="26.4">
      <c r="A68" s="465" t="s">
        <v>843</v>
      </c>
      <c r="B68" s="1236" t="s">
        <v>1820</v>
      </c>
      <c r="C68" s="466"/>
      <c r="D68" s="1236" t="s">
        <v>1820</v>
      </c>
      <c r="E68" s="1236" t="s">
        <v>1820</v>
      </c>
      <c r="F68" s="1237" t="s">
        <v>1820</v>
      </c>
      <c r="G68" s="76" t="s">
        <v>1843</v>
      </c>
      <c r="H68" s="1206"/>
      <c r="I68" s="1206"/>
      <c r="J68" s="866" t="s">
        <v>1840</v>
      </c>
      <c r="K68" s="866"/>
      <c r="L68" s="469"/>
      <c r="M68" s="467" t="str">
        <f>IF(OR(B68="",D68="",E68="",F68="",G68=""),"×","○")</f>
        <v>○</v>
      </c>
      <c r="N68" s="449" t="str">
        <f t="shared" si="1"/>
        <v>○</v>
      </c>
      <c r="P68" s="158"/>
      <c r="Q68" s="863"/>
    </row>
    <row r="69" spans="1:17">
      <c r="A69" s="465" t="s">
        <v>844</v>
      </c>
      <c r="B69" s="1236" t="s">
        <v>1820</v>
      </c>
      <c r="C69" s="466"/>
      <c r="D69" s="1236" t="s">
        <v>1820</v>
      </c>
      <c r="E69" s="1236" t="s">
        <v>1820</v>
      </c>
      <c r="F69" s="1237" t="s">
        <v>1820</v>
      </c>
      <c r="G69" s="76" t="s">
        <v>1844</v>
      </c>
      <c r="H69" s="1206"/>
      <c r="I69" s="1206"/>
      <c r="J69" s="865" t="s">
        <v>1841</v>
      </c>
      <c r="K69" s="866"/>
      <c r="L69" s="469"/>
      <c r="M69" s="467" t="str">
        <f>IF(OR(B69="",D69="",E69="",F69="",G69=""),"×","○")</f>
        <v>○</v>
      </c>
      <c r="N69" s="449" t="str">
        <f t="shared" si="1"/>
        <v>○</v>
      </c>
      <c r="P69" s="158"/>
      <c r="Q69" s="863"/>
    </row>
    <row r="70" spans="1:17">
      <c r="A70" s="465" t="s">
        <v>845</v>
      </c>
      <c r="B70" s="1236" t="s">
        <v>1820</v>
      </c>
      <c r="C70" s="466"/>
      <c r="D70" s="1236" t="s">
        <v>1820</v>
      </c>
      <c r="E70" s="1236" t="s">
        <v>1820</v>
      </c>
      <c r="F70" s="1237" t="s">
        <v>1820</v>
      </c>
      <c r="G70" s="76" t="s">
        <v>1843</v>
      </c>
      <c r="H70" s="1206"/>
      <c r="I70" s="1206"/>
      <c r="J70" s="865" t="s">
        <v>1841</v>
      </c>
      <c r="K70" s="866"/>
      <c r="L70" s="469"/>
      <c r="M70" s="467" t="str">
        <f>IF(OR(B70="",D70="",E70="",F70="",G70=""),"×","○")</f>
        <v>○</v>
      </c>
      <c r="N70" s="449" t="str">
        <f t="shared" si="1"/>
        <v>○</v>
      </c>
      <c r="P70" s="158"/>
      <c r="Q70" s="863"/>
    </row>
    <row r="71" spans="1:17">
      <c r="A71" s="465" t="s">
        <v>846</v>
      </c>
      <c r="B71" s="1236" t="s">
        <v>1820</v>
      </c>
      <c r="C71" s="466"/>
      <c r="D71" s="1236" t="s">
        <v>1820</v>
      </c>
      <c r="E71" s="1236" t="s">
        <v>1820</v>
      </c>
      <c r="F71" s="1237" t="s">
        <v>1820</v>
      </c>
      <c r="G71" s="76" t="s">
        <v>1843</v>
      </c>
      <c r="H71" s="1206"/>
      <c r="I71" s="1206"/>
      <c r="J71" s="865" t="s">
        <v>1841</v>
      </c>
      <c r="K71" s="866"/>
      <c r="L71" s="469"/>
      <c r="M71" s="467" t="str">
        <f>IF(OR(B71="",D71="",E71="",F71="",G71=""),"×","○")</f>
        <v>○</v>
      </c>
      <c r="N71" s="449" t="str">
        <f t="shared" si="1"/>
        <v>○</v>
      </c>
      <c r="P71" s="158"/>
      <c r="Q71" s="863"/>
    </row>
    <row r="72" spans="1:17">
      <c r="A72" s="465" t="s">
        <v>847</v>
      </c>
      <c r="B72" s="1236" t="s">
        <v>862</v>
      </c>
      <c r="C72" s="76" t="s">
        <v>862</v>
      </c>
      <c r="D72" s="1236" t="s">
        <v>862</v>
      </c>
      <c r="E72" s="1236" t="s">
        <v>862</v>
      </c>
      <c r="F72" s="1237" t="s">
        <v>862</v>
      </c>
      <c r="G72" s="76" t="s">
        <v>1843</v>
      </c>
      <c r="H72" s="1207"/>
      <c r="I72" s="1207"/>
      <c r="J72" s="865" t="s">
        <v>1832</v>
      </c>
      <c r="K72" s="866"/>
      <c r="L72" s="470"/>
      <c r="M72" s="449" t="str">
        <f t="shared" si="0"/>
        <v>○</v>
      </c>
      <c r="N72" s="449" t="str">
        <f t="shared" si="1"/>
        <v>○</v>
      </c>
      <c r="P72" s="158"/>
      <c r="Q72" s="863"/>
    </row>
    <row r="73" spans="1:17">
      <c r="A73" s="460"/>
      <c r="B73" s="1361" t="s">
        <v>848</v>
      </c>
      <c r="C73" s="1362"/>
      <c r="D73" s="1362"/>
      <c r="E73" s="1362"/>
      <c r="F73" s="1363"/>
      <c r="G73" s="1359" t="s">
        <v>849</v>
      </c>
      <c r="H73" s="1372" t="s">
        <v>773</v>
      </c>
      <c r="I73" s="1373"/>
      <c r="J73" s="1372" t="s">
        <v>774</v>
      </c>
      <c r="K73" s="461" t="s">
        <v>775</v>
      </c>
      <c r="P73" s="158"/>
      <c r="Q73" s="863"/>
    </row>
    <row r="74" spans="1:17" ht="13.5" customHeight="1">
      <c r="A74" s="1357" t="s">
        <v>850</v>
      </c>
      <c r="B74" s="1359" t="s">
        <v>777</v>
      </c>
      <c r="C74" s="1361" t="s">
        <v>778</v>
      </c>
      <c r="D74" s="1362"/>
      <c r="E74" s="1363"/>
      <c r="F74" s="1359" t="s">
        <v>779</v>
      </c>
      <c r="G74" s="1374"/>
      <c r="H74" s="1357" t="s">
        <v>780</v>
      </c>
      <c r="I74" s="1357" t="s">
        <v>1738</v>
      </c>
      <c r="J74" s="1360"/>
      <c r="K74" s="462"/>
      <c r="P74" s="158"/>
      <c r="Q74" s="863"/>
    </row>
    <row r="75" spans="1:17" ht="57.75" customHeight="1">
      <c r="A75" s="1358"/>
      <c r="B75" s="1360"/>
      <c r="C75" s="463" t="s">
        <v>781</v>
      </c>
      <c r="D75" s="463" t="s">
        <v>782</v>
      </c>
      <c r="E75" s="463" t="s">
        <v>783</v>
      </c>
      <c r="F75" s="1360"/>
      <c r="G75" s="1360"/>
      <c r="H75" s="1358"/>
      <c r="I75" s="1358"/>
      <c r="J75" s="1358"/>
      <c r="K75" s="464" t="s">
        <v>784</v>
      </c>
      <c r="P75" s="158"/>
      <c r="Q75" s="863"/>
    </row>
    <row r="76" spans="1:17">
      <c r="A76" s="471" t="s">
        <v>851</v>
      </c>
      <c r="B76" s="76" t="s">
        <v>1823</v>
      </c>
      <c r="C76" s="76" t="s">
        <v>1823</v>
      </c>
      <c r="D76" s="76" t="s">
        <v>1823</v>
      </c>
      <c r="E76" s="76" t="s">
        <v>1823</v>
      </c>
      <c r="F76" s="76" t="s">
        <v>1823</v>
      </c>
      <c r="G76" s="76" t="s">
        <v>1843</v>
      </c>
      <c r="H76" s="466"/>
      <c r="I76" s="466"/>
      <c r="J76" s="1238" t="s">
        <v>1842</v>
      </c>
      <c r="K76" s="866"/>
      <c r="L76" s="469"/>
      <c r="M76" s="449" t="str">
        <f t="shared" si="0"/>
        <v>○</v>
      </c>
      <c r="N76" s="449" t="str">
        <f t="shared" si="1"/>
        <v>○</v>
      </c>
      <c r="P76" s="158"/>
      <c r="Q76" s="863"/>
    </row>
    <row r="77" spans="1:17">
      <c r="A77" s="471" t="s">
        <v>852</v>
      </c>
      <c r="B77" s="76" t="s">
        <v>1823</v>
      </c>
      <c r="C77" s="76" t="s">
        <v>1823</v>
      </c>
      <c r="D77" s="76" t="s">
        <v>1823</v>
      </c>
      <c r="E77" s="76" t="s">
        <v>1823</v>
      </c>
      <c r="F77" s="76" t="s">
        <v>1823</v>
      </c>
      <c r="G77" s="76" t="s">
        <v>1843</v>
      </c>
      <c r="H77" s="466"/>
      <c r="I77" s="466"/>
      <c r="J77" s="1238" t="s">
        <v>1842</v>
      </c>
      <c r="K77" s="866"/>
      <c r="L77" s="469"/>
      <c r="M77" s="449" t="str">
        <f t="shared" si="0"/>
        <v>○</v>
      </c>
      <c r="N77" s="449" t="str">
        <f t="shared" si="1"/>
        <v>○</v>
      </c>
      <c r="P77" s="158"/>
      <c r="Q77" s="863"/>
    </row>
    <row r="78" spans="1:17">
      <c r="A78" s="471" t="s">
        <v>853</v>
      </c>
      <c r="B78" s="76" t="s">
        <v>1823</v>
      </c>
      <c r="C78" s="76" t="s">
        <v>1823</v>
      </c>
      <c r="D78" s="76" t="s">
        <v>1823</v>
      </c>
      <c r="E78" s="76" t="s">
        <v>1823</v>
      </c>
      <c r="F78" s="76" t="s">
        <v>1823</v>
      </c>
      <c r="G78" s="76" t="s">
        <v>1843</v>
      </c>
      <c r="H78" s="466"/>
      <c r="I78" s="466"/>
      <c r="J78" s="1238" t="s">
        <v>1842</v>
      </c>
      <c r="K78" s="866"/>
      <c r="L78" s="469"/>
      <c r="M78" s="449" t="str">
        <f t="shared" si="0"/>
        <v>○</v>
      </c>
      <c r="N78" s="449" t="str">
        <f t="shared" si="1"/>
        <v>○</v>
      </c>
      <c r="P78" s="158"/>
      <c r="Q78" s="863"/>
    </row>
    <row r="79" spans="1:17">
      <c r="A79" s="471" t="s">
        <v>854</v>
      </c>
      <c r="B79" s="76" t="s">
        <v>1823</v>
      </c>
      <c r="C79" s="466"/>
      <c r="D79" s="76" t="s">
        <v>1823</v>
      </c>
      <c r="E79" s="76" t="s">
        <v>1823</v>
      </c>
      <c r="F79" s="76" t="s">
        <v>1823</v>
      </c>
      <c r="G79" s="76" t="s">
        <v>1843</v>
      </c>
      <c r="H79" s="466"/>
      <c r="I79" s="466"/>
      <c r="J79" s="1238" t="s">
        <v>1842</v>
      </c>
      <c r="K79" s="866"/>
      <c r="M79" s="467" t="str">
        <f>IF(OR(B79="",D79="",E79="",F79="",G79=""),"×","○")</f>
        <v>○</v>
      </c>
      <c r="N79" s="449" t="str">
        <f t="shared" si="1"/>
        <v>○</v>
      </c>
      <c r="P79" s="158"/>
      <c r="Q79" s="863"/>
    </row>
    <row r="80" spans="1:17">
      <c r="A80" s="471" t="s">
        <v>855</v>
      </c>
      <c r="B80" s="76" t="s">
        <v>1823</v>
      </c>
      <c r="C80" s="76" t="s">
        <v>1823</v>
      </c>
      <c r="D80" s="76" t="s">
        <v>1823</v>
      </c>
      <c r="E80" s="76" t="s">
        <v>1823</v>
      </c>
      <c r="F80" s="76" t="s">
        <v>1823</v>
      </c>
      <c r="G80" s="76" t="s">
        <v>1843</v>
      </c>
      <c r="H80" s="466"/>
      <c r="I80" s="466"/>
      <c r="J80" s="1238" t="s">
        <v>1842</v>
      </c>
      <c r="K80" s="866"/>
      <c r="M80" s="449" t="str">
        <f t="shared" si="0"/>
        <v>○</v>
      </c>
      <c r="N80" s="449" t="str">
        <f t="shared" si="1"/>
        <v>○</v>
      </c>
      <c r="P80" s="159"/>
      <c r="Q80" s="86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7" orientation="portrait"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da403b65-2863-4fac-9bf3-1b8b0c5a37f2"/>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別紙3自施設で対応しないもの</vt:lpstr>
      <vt:lpstr>別紙2専門とするがんの診療状況</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2024-11-28T01:41:14Z</cp:lastPrinted>
  <dcterms:created xsi:type="dcterms:W3CDTF">2016-08-30T05:01:01Z</dcterms:created>
  <dcterms:modified xsi:type="dcterms:W3CDTF">2025-02-13T02:01:19Z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