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pref（連絡先シート削除済み）アルファベット表記\01_５がん●\03_北河内●\"/>
    </mc:Choice>
  </mc:AlternateContent>
  <xr:revisionPtr revIDLastSave="0" documentId="13_ncr:1_{6ACD9D25-E0DB-46CA-8A71-518B2D64E2E5}" xr6:coauthVersionLast="47" xr6:coauthVersionMax="47" xr10:uidLastSave="{00000000-0000-0000-0000-000000000000}"/>
  <bookViews>
    <workbookView xWindow="28680" yWindow="-120" windowWidth="29040" windowHeight="15720" tabRatio="907"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チーム医療の提供体制" sheetId="205" r:id="rId24"/>
    <sheet name="別紙19医療安全・第三者評価" sheetId="183" r:id="rId25"/>
    <sheet name="別紙20歯科との連携" sheetId="208" r:id="rId26"/>
    <sheet name="別紙21地域連携カンファ開催状況" sheetId="215" r:id="rId27"/>
    <sheet name="別紙22診療実績とりまとめ" sheetId="217" r:id="rId28"/>
    <sheet name="前年度診療実績" sheetId="219" r:id="rId29"/>
  </sheets>
  <externalReferences>
    <externalReference r:id="rId30"/>
  </externalReferences>
  <definedNames>
    <definedName name="_xlnm._FilterDatabase" localSheetId="28" hidden="1">前年度診療実績!$B$9:$BL$71</definedName>
    <definedName name="_xlnm._FilterDatabase" localSheetId="27" hidden="1">別紙22診療実績とりまとめ!$A$6:$BK$7</definedName>
    <definedName name="_xlnm._FilterDatabase" localSheetId="4" hidden="1">'様式４(機能別)'!#REF!</definedName>
    <definedName name="list00">[1]選択肢!$B$2:$B$3</definedName>
    <definedName name="_xlnm.Print_Area" localSheetId="5">'(参考)診療割合算出表'!$A$1:$N$11</definedName>
    <definedName name="_xlnm.Print_Area" localSheetId="0">'事務局使用（発出時は非表示にすること）'!$A$1:$ED$7</definedName>
    <definedName name="_xlnm.Print_Area" localSheetId="28">前年度診療実績!$A$1:$BL$71</definedName>
    <definedName name="_xlnm.Print_Area" localSheetId="1">入力時の注意事項!$A$1:$H$34</definedName>
    <definedName name="_xlnm.Print_Area" localSheetId="2">表紙!$A$1:$G$36</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別紙12相談支援センター窓口等!$A$1:$X$18</definedName>
    <definedName name="_xlnm.Print_Area" localSheetId="18">別紙13相談支援センター体制!$A$1:$J$45</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別紙18チーム医療の提供体制!$A$1:$P$16</definedName>
    <definedName name="_xlnm.Print_Area" localSheetId="24">別紙19医療安全・第三者評価!$A$1:$J$37</definedName>
    <definedName name="_xlnm.Print_Area" localSheetId="6">別紙1未充足要件!$A$1:$G$48</definedName>
    <definedName name="_xlnm.Print_Area" localSheetId="25">別紙20歯科との連携!$A$1:$J$48</definedName>
    <definedName name="_xlnm.Print_Area" localSheetId="26">別紙21地域連携カンファ開催状況!$A$1:$J$33</definedName>
    <definedName name="_xlnm.Print_Area" localSheetId="27">別紙22診療実績とりまとめ!$A$1:$BK$9</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別紙4カンファレンス!$A$1:$I$19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別紙8緩和メンバーと活動!$A$1:$G$42</definedName>
    <definedName name="_xlnm.Print_Area" localSheetId="14">別紙9インターネット環境!$A$1:$Z$16</definedName>
    <definedName name="_xlnm.Print_Area" localSheetId="4">'様式４(機能別)'!$A$1:$N$358</definedName>
    <definedName name="_xlnm.Print_Area" localSheetId="3">'様式4（全般事項）'!$A$1:$W$320</definedName>
    <definedName name="_xlnm.Print_Titles" localSheetId="28">前年度診療実績!$3:$6</definedName>
    <definedName name="_xlnm.Print_Titles" localSheetId="27">別紙22診療実績とりまとめ!$1:$6</definedName>
    <definedName name="_xlnm.Print_Titles" localSheetId="4">'様式４(機能別)'!$9:$9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72" i="195" l="1"/>
  <c r="M358" i="195" l="1"/>
  <c r="H243" i="195"/>
  <c r="H244" i="195"/>
  <c r="I2" i="217"/>
  <c r="BJ8" i="217"/>
  <c r="BH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K9" i="217"/>
  <c r="BJ9" i="217"/>
  <c r="BI9" i="217"/>
  <c r="BH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E9" i="217"/>
  <c r="D9" i="217"/>
  <c r="C9" i="217"/>
  <c r="B9" i="217"/>
  <c r="B35" i="2"/>
  <c r="BK71" i="219"/>
  <c r="BI71" i="219"/>
  <c r="BK70" i="219"/>
  <c r="BI70" i="219"/>
  <c r="BK69" i="219"/>
  <c r="BI69" i="219"/>
  <c r="BK68" i="219"/>
  <c r="BI68" i="219"/>
  <c r="BK67" i="219"/>
  <c r="BI67" i="219"/>
  <c r="BK66" i="219"/>
  <c r="BI66" i="219"/>
  <c r="BK65" i="219"/>
  <c r="BI65" i="219"/>
  <c r="BK64" i="219"/>
  <c r="BI64" i="219"/>
  <c r="BK63" i="219"/>
  <c r="BI63" i="219"/>
  <c r="BK62" i="219"/>
  <c r="BI62" i="219"/>
  <c r="BK61" i="219"/>
  <c r="BI61" i="219"/>
  <c r="BK60" i="219"/>
  <c r="BI60" i="219"/>
  <c r="BK59" i="219"/>
  <c r="BI59" i="219"/>
  <c r="BK58" i="219"/>
  <c r="BI58" i="219"/>
  <c r="BK57" i="219"/>
  <c r="BI57" i="219"/>
  <c r="BK56" i="219"/>
  <c r="BI56" i="219"/>
  <c r="BK55" i="219"/>
  <c r="BI55" i="219"/>
  <c r="BK54" i="219"/>
  <c r="BI54" i="219"/>
  <c r="BK53" i="219"/>
  <c r="BI53" i="219"/>
  <c r="BK52" i="219"/>
  <c r="BI52" i="219"/>
  <c r="BK51" i="219"/>
  <c r="BI51" i="219"/>
  <c r="BK50" i="219"/>
  <c r="BI50" i="219"/>
  <c r="BK49" i="219"/>
  <c r="BI49" i="219"/>
  <c r="BK48" i="219"/>
  <c r="BI48" i="219"/>
  <c r="BK47" i="219"/>
  <c r="BI47" i="219"/>
  <c r="BK46" i="219"/>
  <c r="BI46" i="219"/>
  <c r="BK45" i="219"/>
  <c r="BI45" i="219"/>
  <c r="BK44" i="219"/>
  <c r="BI44" i="219"/>
  <c r="BK43" i="219"/>
  <c r="BI43" i="219"/>
  <c r="BK42" i="219"/>
  <c r="BI42" i="219"/>
  <c r="BK41" i="219"/>
  <c r="BI41" i="219"/>
  <c r="BK40" i="219"/>
  <c r="BI40" i="219"/>
  <c r="BK39" i="219"/>
  <c r="BI39" i="219"/>
  <c r="BK38" i="219"/>
  <c r="BI38" i="219"/>
  <c r="BK37" i="219"/>
  <c r="BI37" i="219"/>
  <c r="BK36" i="219"/>
  <c r="BI36" i="219"/>
  <c r="BK35" i="219"/>
  <c r="BI35" i="219"/>
  <c r="BK34" i="219"/>
  <c r="BI34" i="219"/>
  <c r="BK33" i="219"/>
  <c r="BI33" i="219"/>
  <c r="BK32" i="219"/>
  <c r="BI32" i="219"/>
  <c r="BK31" i="219"/>
  <c r="BI31" i="219"/>
  <c r="BK30" i="219"/>
  <c r="BI30" i="219"/>
  <c r="BK29" i="219"/>
  <c r="BI29" i="219"/>
  <c r="BK28" i="219"/>
  <c r="BI28" i="219"/>
  <c r="BK27" i="219"/>
  <c r="BI27" i="219"/>
  <c r="BK26" i="219"/>
  <c r="BI26" i="219"/>
  <c r="BK25" i="219"/>
  <c r="BI25" i="219"/>
  <c r="BK24" i="219"/>
  <c r="BI24" i="219"/>
  <c r="BK23" i="219"/>
  <c r="BI23" i="219"/>
  <c r="BK22" i="219"/>
  <c r="BI22" i="219"/>
  <c r="BK21" i="219"/>
  <c r="BI21" i="219"/>
  <c r="BK20" i="219"/>
  <c r="BI20" i="219"/>
  <c r="BK19" i="219"/>
  <c r="BI19" i="219"/>
  <c r="BK18" i="219"/>
  <c r="BI18" i="219"/>
  <c r="BK17" i="219"/>
  <c r="BI17" i="219"/>
  <c r="BK16" i="219"/>
  <c r="BI16" i="219"/>
  <c r="BK15" i="219"/>
  <c r="BI15" i="219"/>
  <c r="BK14" i="219"/>
  <c r="BI14" i="219"/>
  <c r="BK13" i="219"/>
  <c r="BI13" i="219"/>
  <c r="BK12" i="219"/>
  <c r="BI12" i="219"/>
  <c r="BK11" i="219"/>
  <c r="BI11" i="219"/>
  <c r="BK10" i="219"/>
  <c r="BI10" i="219"/>
  <c r="BK9" i="219"/>
  <c r="BI9" i="219"/>
  <c r="BK8" i="219"/>
  <c r="BI8" i="219"/>
  <c r="BK7" i="219"/>
  <c r="BI7" i="219"/>
  <c r="I130" i="195" l="1"/>
  <c r="I129" i="195"/>
  <c r="M129" i="195" s="1"/>
  <c r="I208" i="195"/>
  <c r="K10" i="215" l="1"/>
  <c r="I2" i="215"/>
  <c r="I189" i="195"/>
  <c r="I38" i="195"/>
  <c r="I36" i="195"/>
  <c r="I345" i="195"/>
  <c r="I350" i="195"/>
  <c r="I349" i="195"/>
  <c r="M349" i="195" s="1"/>
  <c r="M345"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W8" i="217" l="1"/>
  <c r="X8" i="217"/>
  <c r="Y8" i="217"/>
  <c r="Z8" i="217"/>
  <c r="AA8" i="217"/>
  <c r="AB8" i="217"/>
  <c r="AC8" i="217"/>
  <c r="AF8" i="217"/>
  <c r="AE8" i="217"/>
  <c r="AD8" i="217"/>
  <c r="AI8" i="217"/>
  <c r="AG8" i="217"/>
  <c r="AH8" i="217"/>
  <c r="AJ8" i="217"/>
  <c r="AL8" i="217"/>
  <c r="AM8" i="217"/>
  <c r="AN8" i="217"/>
  <c r="AO8" i="217"/>
  <c r="AP8" i="217"/>
  <c r="AQ8" i="217"/>
  <c r="AR8" i="217"/>
  <c r="AS8" i="217"/>
  <c r="AT8" i="217"/>
  <c r="AU8" i="217"/>
  <c r="AV8" i="217"/>
  <c r="AW8" i="217"/>
  <c r="AX8" i="217"/>
  <c r="AY8" i="217"/>
  <c r="AZ8" i="217"/>
  <c r="BA8" i="217"/>
  <c r="BE8" i="217"/>
  <c r="BD8" i="217"/>
  <c r="BC8" i="217"/>
  <c r="BK8" i="217"/>
  <c r="BF8" i="217"/>
  <c r="BB8" i="217"/>
  <c r="Q8" i="217"/>
  <c r="R8" i="217"/>
  <c r="S8" i="217"/>
  <c r="T8" i="217"/>
  <c r="U8" i="217"/>
  <c r="V8" i="217"/>
  <c r="P8" i="217"/>
  <c r="O8" i="217"/>
  <c r="N8" i="217"/>
  <c r="H8" i="217"/>
  <c r="I8" i="217"/>
  <c r="J8" i="217"/>
  <c r="K8" i="217"/>
  <c r="L8" i="217"/>
  <c r="M8" i="217"/>
  <c r="G8" i="217"/>
  <c r="F8" i="217"/>
  <c r="E8" i="217"/>
  <c r="D8" i="217"/>
  <c r="B8" i="217"/>
  <c r="C9" i="168" l="1"/>
  <c r="K11" i="215"/>
  <c r="B34" i="2"/>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Y2" i="197" s="1"/>
  <c r="AA40" i="210"/>
  <c r="AA38" i="210"/>
  <c r="AA33" i="210"/>
  <c r="AA32" i="210"/>
  <c r="AA28" i="210"/>
  <c r="AA27" i="210"/>
  <c r="AA11" i="210"/>
  <c r="AA12" i="210"/>
  <c r="AA13" i="210"/>
  <c r="AA9" i="210"/>
  <c r="AA10" i="210"/>
  <c r="AA8" i="210"/>
  <c r="L18" i="158"/>
  <c r="L16" i="158"/>
  <c r="K2" i="198" l="1"/>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W2" i="177"/>
  <c r="Y43" i="177"/>
  <c r="Y42" i="177"/>
  <c r="Y38" i="177"/>
  <c r="Y37" i="177"/>
  <c r="Y33" i="177"/>
  <c r="Y32" i="177"/>
  <c r="Y41" i="177"/>
  <c r="Y36" i="177"/>
  <c r="Y31" i="177"/>
  <c r="Q14" i="205"/>
  <c r="Q13" i="205"/>
  <c r="Q12" i="205"/>
  <c r="Q11" i="205"/>
  <c r="Q10" i="205"/>
  <c r="Q9" i="205"/>
  <c r="Q8" i="205"/>
  <c r="O2" i="205" s="1"/>
  <c r="B31" i="2" s="1"/>
  <c r="Q7" i="205"/>
  <c r="W173" i="4"/>
  <c r="V173" i="4"/>
  <c r="W176" i="4"/>
  <c r="V176" i="4"/>
  <c r="W175" i="4"/>
  <c r="V175" i="4"/>
  <c r="W174" i="4"/>
  <c r="V174" i="4"/>
  <c r="W172" i="4"/>
  <c r="W171" i="4"/>
  <c r="W170" i="4"/>
  <c r="V172" i="4"/>
  <c r="V171" i="4"/>
  <c r="V170" i="4"/>
  <c r="W169" i="4"/>
  <c r="V169" i="4"/>
  <c r="W303" i="4"/>
  <c r="V303" i="4"/>
  <c r="W299" i="4"/>
  <c r="V299" i="4"/>
  <c r="Y12" i="174" l="1"/>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B6" i="204"/>
  <c r="B7" i="204" s="1"/>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<sst xmlns="http://schemas.openxmlformats.org/spreadsheetml/2006/main" count="3894" uniqueCount="1956">
  <si>
    <t>令和５年度現況報告書</t>
    <rPh sb="0" eb="2">
      <t>レイワ</t>
    </rPh>
    <rPh sb="3" eb="5">
      <t>ネンド</t>
    </rPh>
    <rPh sb="5" eb="7">
      <t>ゲンキョウ</t>
    </rPh>
    <rPh sb="7" eb="10">
      <t>ホウコクショ</t>
    </rPh>
    <phoneticPr fontId="9"/>
  </si>
  <si>
    <t>時点</t>
    <rPh sb="0" eb="2">
      <t>ジテン</t>
    </rPh>
    <phoneticPr fontId="9"/>
  </si>
  <si>
    <t>令和５年９月１日時点</t>
    <rPh sb="0" eb="2">
      <t>レイワ</t>
    </rPh>
    <rPh sb="3" eb="4">
      <t>ネン</t>
    </rPh>
    <rPh sb="5" eb="6">
      <t>ガツ</t>
    </rPh>
    <rPh sb="7" eb="8">
      <t>ニチ</t>
    </rPh>
    <rPh sb="8" eb="10">
      <t>ジテン</t>
    </rPh>
    <phoneticPr fontId="9"/>
  </si>
  <si>
    <t>期間</t>
    <rPh sb="0" eb="2">
      <t>キカン</t>
    </rPh>
    <phoneticPr fontId="9"/>
  </si>
  <si>
    <t>令和４年１月１日～12月31日</t>
    <rPh sb="0" eb="2">
      <t>レイワ</t>
    </rPh>
    <rPh sb="3" eb="4">
      <t>ネン</t>
    </rPh>
    <rPh sb="5" eb="6">
      <t>ガツ</t>
    </rPh>
    <rPh sb="7" eb="8">
      <t>ニチ</t>
    </rPh>
    <rPh sb="11" eb="12">
      <t>ガツ</t>
    </rPh>
    <rPh sb="14" eb="15">
      <t>ニチ</t>
    </rPh>
    <phoneticPr fontId="9"/>
  </si>
  <si>
    <t>ロジモデ指標のままを入れている</t>
    <rPh sb="4" eb="6">
      <t>シヒョウ</t>
    </rPh>
    <rPh sb="10" eb="11">
      <t>イ</t>
    </rPh>
    <phoneticPr fontId="9"/>
  </si>
  <si>
    <t>拠点病院等における我が国に多いがんの鏡視下手術の割合</t>
    <phoneticPr fontId="9"/>
  </si>
  <si>
    <t>満たしていない必須要件①</t>
    <rPh sb="0" eb="1">
      <t>ミ</t>
    </rPh>
    <rPh sb="7" eb="9">
      <t>ヒッス</t>
    </rPh>
    <rPh sb="9" eb="11">
      <t>ヨウケン</t>
    </rPh>
    <phoneticPr fontId="9"/>
  </si>
  <si>
    <t>満たしていない必須要件②</t>
    <rPh sb="0" eb="1">
      <t>ミ</t>
    </rPh>
    <rPh sb="7" eb="9">
      <t>ヒッス</t>
    </rPh>
    <rPh sb="9" eb="11">
      <t>ヨウケン</t>
    </rPh>
    <phoneticPr fontId="9"/>
  </si>
  <si>
    <t>満たしていない必須要件③</t>
    <rPh sb="0" eb="1">
      <t>ミ</t>
    </rPh>
    <rPh sb="7" eb="9">
      <t>ヒッス</t>
    </rPh>
    <rPh sb="9" eb="11">
      <t>ヨウケン</t>
    </rPh>
    <phoneticPr fontId="9"/>
  </si>
  <si>
    <t>満たしていない必須要件④</t>
    <rPh sb="0" eb="1">
      <t>ミ</t>
    </rPh>
    <rPh sb="7" eb="9">
      <t>ヒッス</t>
    </rPh>
    <rPh sb="9" eb="11">
      <t>ヨウケン</t>
    </rPh>
    <phoneticPr fontId="9"/>
  </si>
  <si>
    <t>満たしていない必須要件⑤</t>
    <rPh sb="0" eb="1">
      <t>ミ</t>
    </rPh>
    <rPh sb="7" eb="9">
      <t>ヒッス</t>
    </rPh>
    <rPh sb="9" eb="11">
      <t>ヨウケン</t>
    </rPh>
    <phoneticPr fontId="9"/>
  </si>
  <si>
    <t>満たしていない必須要件⑥</t>
    <rPh sb="0" eb="1">
      <t>ミ</t>
    </rPh>
    <rPh sb="7" eb="9">
      <t>ヒッス</t>
    </rPh>
    <rPh sb="9" eb="11">
      <t>ヨウケン</t>
    </rPh>
    <phoneticPr fontId="9"/>
  </si>
  <si>
    <t>満たしていない必須要件⑦</t>
    <rPh sb="0" eb="1">
      <t>ミ</t>
    </rPh>
    <rPh sb="7" eb="9">
      <t>ヒッス</t>
    </rPh>
    <rPh sb="9" eb="11">
      <t>ヨウケン</t>
    </rPh>
    <phoneticPr fontId="9"/>
  </si>
  <si>
    <t>満たしていない必須要件⑧</t>
    <rPh sb="0" eb="1">
      <t>ミ</t>
    </rPh>
    <rPh sb="7" eb="9">
      <t>ヒッス</t>
    </rPh>
    <rPh sb="9" eb="11">
      <t>ヨウケン</t>
    </rPh>
    <phoneticPr fontId="9"/>
  </si>
  <si>
    <t>満たしていない必須要件⑨</t>
    <rPh sb="0" eb="1">
      <t>ミ</t>
    </rPh>
    <rPh sb="7" eb="9">
      <t>ヒッス</t>
    </rPh>
    <rPh sb="9" eb="11">
      <t>ヨウケン</t>
    </rPh>
    <phoneticPr fontId="9"/>
  </si>
  <si>
    <t>満たしていない必須要件⑩</t>
    <rPh sb="0" eb="1">
      <t>ミ</t>
    </rPh>
    <rPh sb="7" eb="9">
      <t>ヒッス</t>
    </rPh>
    <rPh sb="9" eb="11">
      <t>ヨウケン</t>
    </rPh>
    <phoneticPr fontId="9"/>
  </si>
  <si>
    <t>満たしていない必須要件⑪</t>
    <rPh sb="0" eb="1">
      <t>ミ</t>
    </rPh>
    <rPh sb="7" eb="9">
      <t>ヒッス</t>
    </rPh>
    <rPh sb="9" eb="11">
      <t>ヨウケン</t>
    </rPh>
    <phoneticPr fontId="9"/>
  </si>
  <si>
    <t>満たしていない必須要件⑫</t>
    <rPh sb="0" eb="1">
      <t>ミ</t>
    </rPh>
    <rPh sb="7" eb="9">
      <t>ヒッス</t>
    </rPh>
    <rPh sb="9" eb="11">
      <t>ヨウケン</t>
    </rPh>
    <phoneticPr fontId="9"/>
  </si>
  <si>
    <t>満たしていない必須要件⑬</t>
    <rPh sb="0" eb="1">
      <t>ミ</t>
    </rPh>
    <rPh sb="7" eb="9">
      <t>ヒッス</t>
    </rPh>
    <rPh sb="9" eb="11">
      <t>ヨウケン</t>
    </rPh>
    <phoneticPr fontId="9"/>
  </si>
  <si>
    <t>満たしていない必須要件⑭</t>
    <rPh sb="0" eb="1">
      <t>ミ</t>
    </rPh>
    <rPh sb="7" eb="9">
      <t>ヒッス</t>
    </rPh>
    <rPh sb="9" eb="11">
      <t>ヨウケン</t>
    </rPh>
    <phoneticPr fontId="9"/>
  </si>
  <si>
    <t>＃</t>
    <phoneticPr fontId="9"/>
  </si>
  <si>
    <t>都道府県</t>
    <rPh sb="0" eb="4">
      <t>トドウフケン</t>
    </rPh>
    <phoneticPr fontId="9"/>
  </si>
  <si>
    <t>２次医療圏</t>
    <rPh sb="1" eb="2">
      <t>ツギ</t>
    </rPh>
    <rPh sb="2" eb="4">
      <t>イリョウ</t>
    </rPh>
    <rPh sb="4" eb="5">
      <t>ケン</t>
    </rPh>
    <phoneticPr fontId="9"/>
  </si>
  <si>
    <t>がん医療圏</t>
    <rPh sb="2" eb="4">
      <t>イリョウ</t>
    </rPh>
    <rPh sb="4" eb="5">
      <t>ケン</t>
    </rPh>
    <phoneticPr fontId="9"/>
  </si>
  <si>
    <t>処方箋発行医療機関コード（10桁）</t>
  </si>
  <si>
    <t>病院名</t>
    <rPh sb="0" eb="2">
      <t>ビョウイン</t>
    </rPh>
    <rPh sb="2" eb="3">
      <t>メイ</t>
    </rPh>
    <phoneticPr fontId="9"/>
  </si>
  <si>
    <t>現行類型</t>
    <rPh sb="0" eb="2">
      <t>ゲンコウ</t>
    </rPh>
    <rPh sb="2" eb="4">
      <t>ルイケイ</t>
    </rPh>
    <phoneticPr fontId="9"/>
  </si>
  <si>
    <t>推薦類型</t>
    <rPh sb="0" eb="2">
      <t>スイセン</t>
    </rPh>
    <rPh sb="2" eb="4">
      <t>ルイケイ</t>
    </rPh>
    <phoneticPr fontId="9"/>
  </si>
  <si>
    <t>指定辞退</t>
    <rPh sb="0" eb="2">
      <t>シテイ</t>
    </rPh>
    <rPh sb="2" eb="4">
      <t>ジタイ</t>
    </rPh>
    <phoneticPr fontId="9"/>
  </si>
  <si>
    <t>院内がん登録</t>
    <rPh sb="0" eb="2">
      <t>インナイ</t>
    </rPh>
    <rPh sb="4" eb="6">
      <t>トウロク</t>
    </rPh>
    <phoneticPr fontId="9"/>
  </si>
  <si>
    <t>悪性腫瘍の手術件数</t>
    <rPh sb="0" eb="2">
      <t>アクセイ</t>
    </rPh>
    <rPh sb="2" eb="4">
      <t>シュヨウ</t>
    </rPh>
    <rPh sb="5" eb="7">
      <t>シュジュツ</t>
    </rPh>
    <rPh sb="7" eb="9">
      <t>ケンスウ</t>
    </rPh>
    <phoneticPr fontId="9"/>
  </si>
  <si>
    <t>がんに係る薬物療法のべ患者数</t>
    <rPh sb="3" eb="4">
      <t>カカ</t>
    </rPh>
    <rPh sb="5" eb="7">
      <t>ヤクブツ</t>
    </rPh>
    <rPh sb="7" eb="9">
      <t>リョウホウ</t>
    </rPh>
    <rPh sb="11" eb="13">
      <t>カンジャ</t>
    </rPh>
    <rPh sb="13" eb="14">
      <t>スウ</t>
    </rPh>
    <phoneticPr fontId="9"/>
  </si>
  <si>
    <t>放射線治療のべ患者数</t>
    <phoneticPr fontId="9"/>
  </si>
  <si>
    <t>緩和ケア新規介入患者数</t>
    <rPh sb="0" eb="2">
      <t>カンワ</t>
    </rPh>
    <rPh sb="4" eb="6">
      <t>シンキ</t>
    </rPh>
    <rPh sb="6" eb="8">
      <t>カイニュウ</t>
    </rPh>
    <rPh sb="8" eb="10">
      <t>カンジャ</t>
    </rPh>
    <rPh sb="10" eb="11">
      <t>スウ</t>
    </rPh>
    <phoneticPr fontId="9"/>
  </si>
  <si>
    <t>診療実績の割合</t>
    <rPh sb="0" eb="2">
      <t>シンリョウ</t>
    </rPh>
    <rPh sb="2" eb="4">
      <t>ジッセキ</t>
    </rPh>
    <rPh sb="5" eb="7">
      <t>ワリアイ</t>
    </rPh>
    <phoneticPr fontId="9"/>
  </si>
  <si>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</si>
  <si>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</si>
  <si>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</si>
  <si>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</si>
  <si>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</si>
  <si>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</si>
  <si>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</si>
  <si>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9"/>
  </si>
  <si>
    <t>肺がん</t>
    <rPh sb="0" eb="1">
      <t>ハイ</t>
    </rPh>
    <phoneticPr fontId="9"/>
  </si>
  <si>
    <t>胃がん</t>
    <rPh sb="0" eb="1">
      <t>イ</t>
    </rPh>
    <phoneticPr fontId="9"/>
  </si>
  <si>
    <t>前立腺がん</t>
    <rPh sb="0" eb="3">
      <t>ゼンリツセン</t>
    </rPh>
    <phoneticPr fontId="9"/>
  </si>
  <si>
    <t>肝臓がん</t>
    <rPh sb="0" eb="2">
      <t>カンゾウ</t>
    </rPh>
    <phoneticPr fontId="9"/>
  </si>
  <si>
    <t>胆のうがん</t>
    <rPh sb="0" eb="1">
      <t>タン</t>
    </rPh>
    <phoneticPr fontId="9"/>
  </si>
  <si>
    <t>膵臓がん</t>
    <rPh sb="0" eb="2">
      <t>スイゾウ</t>
    </rPh>
    <phoneticPr fontId="9"/>
  </si>
  <si>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</si>
  <si>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</si>
  <si>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</si>
  <si>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</si>
  <si>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</si>
  <si>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</si>
  <si>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</si>
  <si>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</si>
  <si>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</si>
  <si>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9"/>
  </si>
  <si>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</si>
  <si>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</si>
  <si>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</si>
  <si>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</si>
  <si>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</si>
  <si>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</si>
  <si>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</si>
  <si>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</si>
  <si>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</si>
  <si>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</si>
  <si>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</si>
  <si>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</si>
  <si>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</si>
  <si>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</si>
  <si>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</si>
  <si>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</si>
  <si>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</si>
  <si>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</si>
  <si>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</si>
  <si>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</si>
  <si>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</si>
  <si>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</si>
  <si>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</si>
  <si>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</si>
  <si>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</si>
  <si>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</si>
  <si>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</si>
  <si>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</si>
  <si>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</si>
  <si>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</si>
  <si>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</si>
  <si>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</si>
  <si>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</si>
  <si>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</si>
  <si>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</si>
  <si>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</si>
  <si>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</si>
  <si>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</si>
  <si>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9"/>
  </si>
  <si>
    <t>通し番号</t>
    <rPh sb="0" eb="1">
      <t>トオ</t>
    </rPh>
    <rPh sb="2" eb="4">
      <t>バンゴウ</t>
    </rPh>
    <phoneticPr fontId="2"/>
  </si>
  <si>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2"/>
  </si>
  <si>
    <t>現状の説明</t>
    <rPh sb="0" eb="2">
      <t>ゲンジョウ</t>
    </rPh>
    <rPh sb="3" eb="5">
      <t>セツメイ</t>
    </rPh>
    <phoneticPr fontId="2"/>
  </si>
  <si>
    <t>充足見込み時期</t>
    <rPh sb="0" eb="2">
      <t>ジュウソク</t>
    </rPh>
    <rPh sb="2" eb="4">
      <t>ミコ</t>
    </rPh>
    <rPh sb="5" eb="7">
      <t>ジキ</t>
    </rPh>
    <phoneticPr fontId="2"/>
  </si>
  <si>
    <t>北海道</t>
    <rPh sb="0" eb="2">
      <t>ホッカイ</t>
    </rPh>
    <rPh sb="2" eb="3">
      <t>ドウ</t>
    </rPh>
    <phoneticPr fontId="9"/>
  </si>
  <si>
    <t>青森県</t>
    <rPh sb="0" eb="3">
      <t>アオモリケン</t>
    </rPh>
    <phoneticPr fontId="9"/>
  </si>
  <si>
    <t>岩手県</t>
    <rPh sb="0" eb="2">
      <t>イワテ</t>
    </rPh>
    <rPh sb="2" eb="3">
      <t>ケン</t>
    </rPh>
    <phoneticPr fontId="9"/>
  </si>
  <si>
    <t>宮城県</t>
    <rPh sb="0" eb="2">
      <t>ミヤギ</t>
    </rPh>
    <rPh sb="2" eb="3">
      <t>ケン</t>
    </rPh>
    <phoneticPr fontId="9"/>
  </si>
  <si>
    <t>秋田県</t>
    <rPh sb="0" eb="3">
      <t>アキタケン</t>
    </rPh>
    <phoneticPr fontId="9"/>
  </si>
  <si>
    <t>山形県</t>
    <rPh sb="0" eb="3">
      <t>ヤマガタケン</t>
    </rPh>
    <phoneticPr fontId="9"/>
  </si>
  <si>
    <t>福島県</t>
    <rPh sb="0" eb="3">
      <t>フクシマケン</t>
    </rPh>
    <phoneticPr fontId="9"/>
  </si>
  <si>
    <t>茨城県</t>
    <rPh sb="0" eb="3">
      <t>イバラキケン</t>
    </rPh>
    <phoneticPr fontId="9"/>
  </si>
  <si>
    <t>栃木県</t>
    <rPh sb="0" eb="3">
      <t>トチギケン</t>
    </rPh>
    <phoneticPr fontId="9"/>
  </si>
  <si>
    <t>群馬県</t>
    <rPh sb="0" eb="3">
      <t>グンマケン</t>
    </rPh>
    <phoneticPr fontId="9"/>
  </si>
  <si>
    <t>埼玉県</t>
  </si>
  <si>
    <t>千葉県</t>
    <rPh sb="0" eb="2">
      <t>チバ</t>
    </rPh>
    <rPh sb="2" eb="3">
      <t>ケン</t>
    </rPh>
    <phoneticPr fontId="9"/>
  </si>
  <si>
    <t>東京都</t>
    <rPh sb="0" eb="3">
      <t>トウキョウト</t>
    </rPh>
    <phoneticPr fontId="9"/>
  </si>
  <si>
    <t>神奈川県</t>
    <rPh sb="0" eb="4">
      <t>カナガワケン</t>
    </rPh>
    <phoneticPr fontId="9"/>
  </si>
  <si>
    <t>新潟県</t>
    <rPh sb="0" eb="3">
      <t>ニイガタケン</t>
    </rPh>
    <phoneticPr fontId="9"/>
  </si>
  <si>
    <t>富山県</t>
    <rPh sb="0" eb="3">
      <t>トヤマケン</t>
    </rPh>
    <phoneticPr fontId="9"/>
  </si>
  <si>
    <t>石川県</t>
    <rPh sb="0" eb="2">
      <t>イシカワ</t>
    </rPh>
    <rPh sb="2" eb="3">
      <t>ケン</t>
    </rPh>
    <phoneticPr fontId="9"/>
  </si>
  <si>
    <t>福井県</t>
    <rPh sb="0" eb="3">
      <t>フクイケン</t>
    </rPh>
    <phoneticPr fontId="9"/>
  </si>
  <si>
    <t>山梨県</t>
    <rPh sb="0" eb="3">
      <t>ヤマナシケン</t>
    </rPh>
    <phoneticPr fontId="9"/>
  </si>
  <si>
    <t>長野県</t>
    <rPh sb="0" eb="3">
      <t>ナガノケン</t>
    </rPh>
    <phoneticPr fontId="9"/>
  </si>
  <si>
    <t>岐阜県</t>
    <rPh sb="0" eb="3">
      <t>ギフケン</t>
    </rPh>
    <phoneticPr fontId="9"/>
  </si>
  <si>
    <t>静岡県</t>
    <rPh sb="0" eb="2">
      <t>シズオカ</t>
    </rPh>
    <rPh sb="2" eb="3">
      <t>ケン</t>
    </rPh>
    <phoneticPr fontId="9"/>
  </si>
  <si>
    <t>愛知県</t>
    <rPh sb="0" eb="3">
      <t>アイチケン</t>
    </rPh>
    <phoneticPr fontId="9"/>
  </si>
  <si>
    <t>三重県</t>
    <rPh sb="0" eb="2">
      <t>ミエ</t>
    </rPh>
    <rPh sb="2" eb="3">
      <t>ケン</t>
    </rPh>
    <phoneticPr fontId="9"/>
  </si>
  <si>
    <t>滋賀県</t>
    <rPh sb="0" eb="3">
      <t>シガケン</t>
    </rPh>
    <phoneticPr fontId="9"/>
  </si>
  <si>
    <t>京都府</t>
    <rPh sb="0" eb="3">
      <t>キョウトフ</t>
    </rPh>
    <phoneticPr fontId="9"/>
  </si>
  <si>
    <t>大阪府</t>
    <rPh sb="0" eb="3">
      <t>オオサカフ</t>
    </rPh>
    <phoneticPr fontId="9"/>
  </si>
  <si>
    <t>兵庫県</t>
    <rPh sb="0" eb="3">
      <t>ヒョウゴケン</t>
    </rPh>
    <phoneticPr fontId="9"/>
  </si>
  <si>
    <t>奈良県</t>
    <rPh sb="0" eb="3">
      <t>ナラケン</t>
    </rPh>
    <phoneticPr fontId="9"/>
  </si>
  <si>
    <t>和歌山県</t>
    <rPh sb="0" eb="4">
      <t>ワカヤマケン</t>
    </rPh>
    <phoneticPr fontId="9"/>
  </si>
  <si>
    <t>鳥取県</t>
    <rPh sb="0" eb="3">
      <t>トットリケン</t>
    </rPh>
    <phoneticPr fontId="9"/>
  </si>
  <si>
    <t>島根県</t>
    <rPh sb="0" eb="3">
      <t>シマネケン</t>
    </rPh>
    <phoneticPr fontId="9"/>
  </si>
  <si>
    <t>岡山県</t>
    <rPh sb="0" eb="3">
      <t>オカヤマケン</t>
    </rPh>
    <phoneticPr fontId="9"/>
  </si>
  <si>
    <t>広島県</t>
    <rPh sb="0" eb="3">
      <t>ヒロシマケン</t>
    </rPh>
    <phoneticPr fontId="9"/>
  </si>
  <si>
    <t>山口県</t>
    <rPh sb="0" eb="3">
      <t>ヤマグチケン</t>
    </rPh>
    <phoneticPr fontId="9"/>
  </si>
  <si>
    <t>徳島県</t>
    <rPh sb="0" eb="3">
      <t>トクシマケン</t>
    </rPh>
    <phoneticPr fontId="9"/>
  </si>
  <si>
    <t>香川県</t>
    <rPh sb="0" eb="3">
      <t>カガワケン</t>
    </rPh>
    <phoneticPr fontId="9"/>
  </si>
  <si>
    <t>愛媛県</t>
    <rPh sb="0" eb="3">
      <t>エヒメケン</t>
    </rPh>
    <phoneticPr fontId="9"/>
  </si>
  <si>
    <t>高知県</t>
    <rPh sb="0" eb="3">
      <t>コウチケン</t>
    </rPh>
    <phoneticPr fontId="9"/>
  </si>
  <si>
    <t>福岡県</t>
    <rPh sb="0" eb="3">
      <t>フクオカケン</t>
    </rPh>
    <phoneticPr fontId="9"/>
  </si>
  <si>
    <t>佐賀県</t>
    <rPh sb="0" eb="3">
      <t>サガケン</t>
    </rPh>
    <phoneticPr fontId="9"/>
  </si>
  <si>
    <t>長崎県</t>
    <rPh sb="0" eb="3">
      <t>ナガサキケン</t>
    </rPh>
    <phoneticPr fontId="9"/>
  </si>
  <si>
    <t>熊本県</t>
    <rPh sb="0" eb="3">
      <t>クマモトケン</t>
    </rPh>
    <phoneticPr fontId="9"/>
  </si>
  <si>
    <t>大分県</t>
    <rPh sb="0" eb="3">
      <t>オオイタケン</t>
    </rPh>
    <phoneticPr fontId="9"/>
  </si>
  <si>
    <t>宮崎県</t>
    <rPh sb="0" eb="3">
      <t>ミヤザキケン</t>
    </rPh>
    <phoneticPr fontId="9"/>
  </si>
  <si>
    <t>鹿児島県</t>
    <rPh sb="0" eb="4">
      <t>カゴシマケン</t>
    </rPh>
    <phoneticPr fontId="9"/>
  </si>
  <si>
    <t>沖縄県</t>
    <rPh sb="0" eb="3">
      <t>オキナワケン</t>
    </rPh>
    <phoneticPr fontId="9"/>
  </si>
  <si>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9"/>
  </si>
  <si>
    <t>■</t>
    <phoneticPr fontId="9"/>
  </si>
  <si>
    <t>以下のような行為はデータ抽出時に不具合を起こす原因となります。</t>
    <rPh sb="12" eb="14">
      <t>チュウシュツ</t>
    </rPh>
    <rPh sb="14" eb="15">
      <t>ジ</t>
    </rPh>
    <rPh sb="16" eb="19">
      <t>フグアイ</t>
    </rPh>
    <rPh sb="20" eb="21">
      <t>オコ</t>
    </rPh>
    <rPh sb="23" eb="25">
      <t>ゲンイン</t>
    </rPh>
    <phoneticPr fontId="9"/>
  </si>
  <si>
    <t>・行や列の挿入や削除</t>
    <rPh sb="1" eb="2">
      <t>ギョウ</t>
    </rPh>
    <rPh sb="3" eb="4">
      <t>レツ</t>
    </rPh>
    <rPh sb="5" eb="7">
      <t>ソウニュウ</t>
    </rPh>
    <rPh sb="8" eb="10">
      <t>サクジョ</t>
    </rPh>
    <phoneticPr fontId="9"/>
  </si>
  <si>
    <t>・基本フォーマットと異なるセルの貼り付け</t>
    <rPh sb="1" eb="3">
      <t>キホン</t>
    </rPh>
    <rPh sb="10" eb="11">
      <t>コト</t>
    </rPh>
    <rPh sb="16" eb="17">
      <t>ハ</t>
    </rPh>
    <rPh sb="18" eb="19">
      <t>ツ</t>
    </rPh>
    <phoneticPr fontId="9"/>
  </si>
  <si>
    <t>・シート名の変更</t>
    <rPh sb="4" eb="5">
      <t>メイ</t>
    </rPh>
    <rPh sb="6" eb="8">
      <t>ヘンコウ</t>
    </rPh>
    <phoneticPr fontId="9"/>
  </si>
  <si>
    <r>
      <t>・シートの</t>
    </r>
    <r>
      <rPr>
        <sz val="11"/>
        <rFont val="ＭＳ Ｐゴシック"/>
        <family val="3"/>
        <charset val="128"/>
      </rPr>
      <t>コピー・移動・挿入・削除</t>
    </r>
    <rPh sb="9" eb="11">
      <t>イドウ</t>
    </rPh>
    <rPh sb="12" eb="14">
      <t>ソウニュウ</t>
    </rPh>
    <rPh sb="15" eb="17">
      <t>サクジョ</t>
    </rPh>
    <phoneticPr fontId="9"/>
  </si>
  <si>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9"/>
  </si>
  <si>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9"/>
  </si>
  <si>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9"/>
  </si>
  <si>
    <t>提出前に不備がないか確認してください。</t>
    <phoneticPr fontId="9"/>
  </si>
  <si>
    <t>表紙や各シートで入力チェック欄を設けています。</t>
    <rPh sb="0" eb="2">
      <t>ヒョウシ</t>
    </rPh>
    <rPh sb="3" eb="4">
      <t>カク</t>
    </rPh>
    <rPh sb="8" eb="10">
      <t>ニュウリョク</t>
    </rPh>
    <rPh sb="14" eb="15">
      <t>ラン</t>
    </rPh>
    <rPh sb="16" eb="17">
      <t>モウ</t>
    </rPh>
    <phoneticPr fontId="9"/>
  </si>
  <si>
    <t>□</t>
    <phoneticPr fontId="9"/>
  </si>
  <si>
    <t>入力チェック欄を機能させるために</t>
    <phoneticPr fontId="9"/>
  </si>
  <si>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9"/>
  </si>
  <si>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9"/>
  </si>
  <si>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9"/>
  </si>
  <si>
    <t>※提出前には表紙を見て、「未入力」の文字がないか、別添ファイルの添付漏れがないか、確認をしてください。</t>
    <phoneticPr fontId="9"/>
  </si>
  <si>
    <t>各シート</t>
    <phoneticPr fontId="9"/>
  </si>
  <si>
    <t>・様式４（機能別）では、一部、回答によって、その後に続く項目が「必須」等か「要件に該当なし」かが
　自動的に設定される箇所があります（「Ａ（またはB、C）／-」となっている箇所です）。</t>
    <rPh sb="1" eb="3">
      <t>ヨウシキ</t>
    </rPh>
    <rPh sb="5" eb="7">
      <t>キノウ</t>
    </rPh>
    <rPh sb="7" eb="8">
      <t>ベツ</t>
    </rPh>
    <phoneticPr fontId="9"/>
  </si>
  <si>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9"/>
  </si>
  <si>
    <t>自由記載</t>
    <rPh sb="0" eb="2">
      <t>ジユウ</t>
    </rPh>
    <rPh sb="2" eb="4">
      <t>キサイ</t>
    </rPh>
    <phoneticPr fontId="9"/>
  </si>
  <si>
    <t>数値入力</t>
    <rPh sb="0" eb="2">
      <t>スウチ</t>
    </rPh>
    <rPh sb="2" eb="4">
      <t>ニュウリョク</t>
    </rPh>
    <phoneticPr fontId="9"/>
  </si>
  <si>
    <t>選択肢から入力</t>
    <rPh sb="0" eb="3">
      <t>センタクシ</t>
    </rPh>
    <rPh sb="5" eb="7">
      <t>ニュウリョク</t>
    </rPh>
    <phoneticPr fontId="9"/>
  </si>
  <si>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9"/>
  </si>
  <si>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9"/>
  </si>
  <si>
    <t>別添ファイル</t>
    <rPh sb="0" eb="2">
      <t>ベッテン</t>
    </rPh>
    <phoneticPr fontId="9"/>
  </si>
  <si>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9"/>
  </si>
  <si>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9"/>
  </si>
  <si>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9"/>
  </si>
  <si>
    <t>病院名（正式名称）</t>
    <rPh sb="0" eb="2">
      <t>ビョウイン</t>
    </rPh>
    <rPh sb="4" eb="6">
      <t>セイシキ</t>
    </rPh>
    <rPh sb="6" eb="8">
      <t>メイショウ</t>
    </rPh>
    <phoneticPr fontId="9"/>
  </si>
  <si>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9"/>
  </si>
  <si>
    <t>入力済／未入力あり</t>
    <rPh sb="0" eb="2">
      <t>ニュウリョク</t>
    </rPh>
    <rPh sb="2" eb="3">
      <t>ス</t>
    </rPh>
    <rPh sb="4" eb="7">
      <t>ミニュウリョク</t>
    </rPh>
    <phoneticPr fontId="9"/>
  </si>
  <si>
    <t>様式3</t>
    <rPh sb="0" eb="2">
      <t>ヨウシキ</t>
    </rPh>
    <phoneticPr fontId="9"/>
  </si>
  <si>
    <t>連絡先</t>
    <rPh sb="0" eb="2">
      <t>レンラク</t>
    </rPh>
    <rPh sb="2" eb="3">
      <t>サキ</t>
    </rPh>
    <phoneticPr fontId="9"/>
  </si>
  <si>
    <t>様式4</t>
    <rPh sb="0" eb="2">
      <t>ヨウシキ</t>
    </rPh>
    <phoneticPr fontId="9"/>
  </si>
  <si>
    <t>全般事項</t>
    <rPh sb="0" eb="2">
      <t>ゼンパン</t>
    </rPh>
    <rPh sb="2" eb="4">
      <t>ジコウ</t>
    </rPh>
    <phoneticPr fontId="9"/>
  </si>
  <si>
    <t>機能別</t>
    <rPh sb="0" eb="2">
      <t>キノウ</t>
    </rPh>
    <rPh sb="2" eb="3">
      <t>ベツ</t>
    </rPh>
    <phoneticPr fontId="9"/>
  </si>
  <si>
    <t>【添付資料】</t>
    <rPh sb="1" eb="3">
      <t>テンプ</t>
    </rPh>
    <rPh sb="3" eb="5">
      <t>シリョウ</t>
    </rPh>
    <phoneticPr fontId="9"/>
  </si>
  <si>
    <t>各別紙に「記載の有無」「別添資料の有無」をチェックする欄があり、このシートに反映されます。</t>
    <phoneticPr fontId="9"/>
  </si>
  <si>
    <t>入力済／未入力あり／不要</t>
    <rPh sb="0" eb="2">
      <t>ニュウリョク</t>
    </rPh>
    <rPh sb="2" eb="3">
      <t>ス</t>
    </rPh>
    <rPh sb="4" eb="7">
      <t>ミニュウリョク</t>
    </rPh>
    <rPh sb="10" eb="12">
      <t>フヨウ</t>
    </rPh>
    <phoneticPr fontId="9"/>
  </si>
  <si>
    <t>別添資料
有無</t>
    <rPh sb="0" eb="2">
      <t>ベッテン</t>
    </rPh>
    <rPh sb="2" eb="4">
      <t>シリョウ</t>
    </rPh>
    <rPh sb="5" eb="7">
      <t>ウム</t>
    </rPh>
    <phoneticPr fontId="9"/>
  </si>
  <si>
    <t>資料番号</t>
    <rPh sb="0" eb="2">
      <t>シリョウ</t>
    </rPh>
    <rPh sb="2" eb="4">
      <t>バンゴウ</t>
    </rPh>
    <phoneticPr fontId="9"/>
  </si>
  <si>
    <t>対象</t>
    <rPh sb="0" eb="2">
      <t>タイショウ</t>
    </rPh>
    <phoneticPr fontId="9"/>
  </si>
  <si>
    <t>内容</t>
    <rPh sb="0" eb="1">
      <t>ウチ</t>
    </rPh>
    <rPh sb="1" eb="2">
      <t>カタチ</t>
    </rPh>
    <phoneticPr fontId="9"/>
  </si>
  <si>
    <t>本体ファイル</t>
    <rPh sb="0" eb="2">
      <t>ホンタイ</t>
    </rPh>
    <phoneticPr fontId="9"/>
  </si>
  <si>
    <t>別紙1</t>
    <rPh sb="0" eb="2">
      <t>ベッシ</t>
    </rPh>
    <phoneticPr fontId="9"/>
  </si>
  <si>
    <t>未充足要件がある施設のみ</t>
    <rPh sb="0" eb="3">
      <t>ミジュウソク</t>
    </rPh>
    <rPh sb="3" eb="5">
      <t>ヨウケン</t>
    </rPh>
    <rPh sb="8" eb="10">
      <t>シセツ</t>
    </rPh>
    <phoneticPr fontId="9"/>
  </si>
  <si>
    <t>別紙2</t>
    <rPh sb="0" eb="2">
      <t>ベッシ</t>
    </rPh>
    <phoneticPr fontId="9"/>
  </si>
  <si>
    <t>全ての施設</t>
    <rPh sb="0" eb="1">
      <t>スベ</t>
    </rPh>
    <rPh sb="3" eb="5">
      <t>シセツ</t>
    </rPh>
    <phoneticPr fontId="9"/>
  </si>
  <si>
    <t>専門とするがんの診療状況</t>
    <rPh sb="0" eb="2">
      <t>センモン</t>
    </rPh>
    <rPh sb="8" eb="10">
      <t>シンリョウ</t>
    </rPh>
    <rPh sb="10" eb="12">
      <t>ジョウキョウ</t>
    </rPh>
    <phoneticPr fontId="9"/>
  </si>
  <si>
    <t>別紙3</t>
    <rPh sb="0" eb="2">
      <t>ベッシ</t>
    </rPh>
    <phoneticPr fontId="9"/>
  </si>
  <si>
    <t>別紙4</t>
    <rPh sb="0" eb="2">
      <t>ベッシ</t>
    </rPh>
    <phoneticPr fontId="9"/>
  </si>
  <si>
    <t>カンファレンス</t>
    <phoneticPr fontId="9"/>
  </si>
  <si>
    <t>別紙5</t>
    <rPh sb="0" eb="2">
      <t>ベッシ</t>
    </rPh>
    <phoneticPr fontId="9"/>
  </si>
  <si>
    <t>緩和ケア外来の状況</t>
    <rPh sb="0" eb="2">
      <t>カンワ</t>
    </rPh>
    <rPh sb="4" eb="6">
      <t>ガイライ</t>
    </rPh>
    <rPh sb="7" eb="9">
      <t>ジョウキョウ</t>
    </rPh>
    <phoneticPr fontId="9"/>
  </si>
  <si>
    <t>別紙6</t>
    <rPh sb="0" eb="2">
      <t>ベッシ</t>
    </rPh>
    <phoneticPr fontId="9"/>
  </si>
  <si>
    <t>緩和ケア病棟</t>
    <rPh sb="0" eb="2">
      <t>カンワ</t>
    </rPh>
    <rPh sb="4" eb="6">
      <t>ビョウトウ</t>
    </rPh>
    <phoneticPr fontId="9"/>
  </si>
  <si>
    <t>別紙7</t>
    <rPh sb="0" eb="2">
      <t>ベッシ</t>
    </rPh>
    <phoneticPr fontId="9"/>
  </si>
  <si>
    <t>地域緩和ケア連携体制</t>
    <rPh sb="0" eb="2">
      <t>チイキ</t>
    </rPh>
    <rPh sb="2" eb="4">
      <t>カンワ</t>
    </rPh>
    <rPh sb="6" eb="8">
      <t>レンケイ</t>
    </rPh>
    <rPh sb="8" eb="10">
      <t>タイセイ</t>
    </rPh>
    <phoneticPr fontId="9"/>
  </si>
  <si>
    <t>別紙8</t>
    <rPh sb="0" eb="2">
      <t>ベッシ</t>
    </rPh>
    <phoneticPr fontId="9"/>
  </si>
  <si>
    <t>別紙9</t>
    <rPh sb="0" eb="2">
      <t>ベッシ</t>
    </rPh>
    <phoneticPr fontId="9"/>
  </si>
  <si>
    <t>インターネット環境の整備状況</t>
    <rPh sb="7" eb="9">
      <t>カンキョウ</t>
    </rPh>
    <rPh sb="10" eb="12">
      <t>セイビ</t>
    </rPh>
    <rPh sb="12" eb="14">
      <t>ジョウキョウ</t>
    </rPh>
    <phoneticPr fontId="9"/>
  </si>
  <si>
    <t>別紙10</t>
    <rPh sb="0" eb="2">
      <t>ベッシ</t>
    </rPh>
    <phoneticPr fontId="9"/>
  </si>
  <si>
    <t>患者の特性に応じた支援</t>
    <rPh sb="0" eb="2">
      <t>カンジャ</t>
    </rPh>
    <rPh sb="3" eb="5">
      <t>トクセイ</t>
    </rPh>
    <rPh sb="6" eb="7">
      <t>オウ</t>
    </rPh>
    <rPh sb="9" eb="11">
      <t>シエン</t>
    </rPh>
    <phoneticPr fontId="9"/>
  </si>
  <si>
    <t>別紙11</t>
    <rPh sb="0" eb="2">
      <t>ベッシ</t>
    </rPh>
    <phoneticPr fontId="9"/>
  </si>
  <si>
    <t>がん相談支援に関する内容</t>
    <rPh sb="2" eb="4">
      <t>ソウダン</t>
    </rPh>
    <rPh sb="4" eb="6">
      <t>シエン</t>
    </rPh>
    <rPh sb="7" eb="8">
      <t>カン</t>
    </rPh>
    <rPh sb="10" eb="12">
      <t>ナイヨウ</t>
    </rPh>
    <phoneticPr fontId="9"/>
  </si>
  <si>
    <t>別紙12</t>
    <rPh sb="0" eb="2">
      <t>ベッシ</t>
    </rPh>
    <phoneticPr fontId="9"/>
  </si>
  <si>
    <t>がん相談支援センターの問い合わせ窓口・がん患者カウンセリングの設定</t>
  </si>
  <si>
    <t>別紙13</t>
    <rPh sb="0" eb="2">
      <t>ベッシ</t>
    </rPh>
    <phoneticPr fontId="9"/>
  </si>
  <si>
    <t>がん相談支援センターの体制</t>
    <phoneticPr fontId="9"/>
  </si>
  <si>
    <t>別紙14</t>
    <rPh sb="0" eb="2">
      <t>ベッシ</t>
    </rPh>
    <phoneticPr fontId="9"/>
  </si>
  <si>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9"/>
  </si>
  <si>
    <t>別紙15</t>
    <rPh sb="0" eb="2">
      <t>ベッシ</t>
    </rPh>
    <phoneticPr fontId="9"/>
  </si>
  <si>
    <t>がんの診療に関連した専門外来の問い合わせ窓口</t>
    <phoneticPr fontId="9"/>
  </si>
  <si>
    <t>別紙16</t>
    <rPh sb="0" eb="2">
      <t>ベッシ</t>
    </rPh>
    <phoneticPr fontId="9"/>
  </si>
  <si>
    <t>院内がん登録部門の体制</t>
    <phoneticPr fontId="9"/>
  </si>
  <si>
    <t>別紙17</t>
    <rPh sb="0" eb="2">
      <t>ベッシ</t>
    </rPh>
    <phoneticPr fontId="9"/>
  </si>
  <si>
    <t>臨床試験・治験に関する窓口</t>
    <rPh sb="0" eb="2">
      <t>リンショウ</t>
    </rPh>
    <rPh sb="2" eb="4">
      <t>シケン</t>
    </rPh>
    <rPh sb="5" eb="7">
      <t>チケン</t>
    </rPh>
    <rPh sb="8" eb="9">
      <t>カン</t>
    </rPh>
    <rPh sb="11" eb="13">
      <t>マドグチ</t>
    </rPh>
    <phoneticPr fontId="9"/>
  </si>
  <si>
    <t>別紙19</t>
    <rPh sb="0" eb="2">
      <t>ベッシ</t>
    </rPh>
    <phoneticPr fontId="9"/>
  </si>
  <si>
    <t>チーム医療の提供体制</t>
    <rPh sb="3" eb="5">
      <t>イリョウ</t>
    </rPh>
    <rPh sb="6" eb="10">
      <t>テイキョウタイセイ</t>
    </rPh>
    <phoneticPr fontId="9"/>
  </si>
  <si>
    <t>別紙20</t>
    <rPh sb="0" eb="2">
      <t>ベッシ</t>
    </rPh>
    <phoneticPr fontId="9"/>
  </si>
  <si>
    <t>医療安全管理・第三者評価の状況</t>
    <rPh sb="0" eb="2">
      <t>イリョウ</t>
    </rPh>
    <rPh sb="2" eb="4">
      <t>アンゼン</t>
    </rPh>
    <rPh sb="4" eb="6">
      <t>カンリ</t>
    </rPh>
    <rPh sb="7" eb="10">
      <t>ダイサンシャ</t>
    </rPh>
    <rPh sb="10" eb="12">
      <t>ヒョウカ</t>
    </rPh>
    <rPh sb="13" eb="15">
      <t>ジョウキョウ</t>
    </rPh>
    <phoneticPr fontId="9"/>
  </si>
  <si>
    <t>別紙21</t>
    <rPh sb="0" eb="2">
      <t>ベッシ</t>
    </rPh>
    <phoneticPr fontId="9"/>
  </si>
  <si>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</si>
  <si>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</si>
  <si>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２．病院概要</t>
    <rPh sb="2" eb="4">
      <t>ビョウイン</t>
    </rPh>
    <rPh sb="4" eb="6">
      <t>ガイヨウ</t>
    </rPh>
    <phoneticPr fontId="9"/>
  </si>
  <si>
    <t>(1)病院名　(表紙シートの病院名を反映）</t>
    <rPh sb="3" eb="5">
      <t>ビョウイン</t>
    </rPh>
    <rPh sb="5" eb="6">
      <t>メイ</t>
    </rPh>
    <rPh sb="8" eb="10">
      <t>ヒョウシ</t>
    </rPh>
    <rPh sb="14" eb="16">
      <t>ビョウイン</t>
    </rPh>
    <rPh sb="16" eb="17">
      <t>メイ</t>
    </rPh>
    <rPh sb="18" eb="20">
      <t>ハンエイ</t>
    </rPh>
    <phoneticPr fontId="9"/>
  </si>
  <si>
    <t>よみがな</t>
    <phoneticPr fontId="9"/>
  </si>
  <si>
    <t>(2)所在地等</t>
    <rPh sb="6" eb="7">
      <t>トウ</t>
    </rPh>
    <phoneticPr fontId="9"/>
  </si>
  <si>
    <t>郵便番号</t>
    <rPh sb="0" eb="2">
      <t>ユウビン</t>
    </rPh>
    <rPh sb="2" eb="4">
      <t>バンゴウ</t>
    </rPh>
    <phoneticPr fontId="9"/>
  </si>
  <si>
    <t>〒</t>
    <phoneticPr fontId="9" type="Hiragana"/>
  </si>
  <si>
    <t>住所</t>
  </si>
  <si>
    <t>電話番号（代表）</t>
    <rPh sb="0" eb="2">
      <t>デンワ</t>
    </rPh>
    <rPh sb="2" eb="4">
      <t>バンゴウ</t>
    </rPh>
    <rPh sb="5" eb="7">
      <t>ダイヒョウ</t>
    </rPh>
    <phoneticPr fontId="9"/>
  </si>
  <si>
    <t>FAX番号（代表）</t>
    <rPh sb="3" eb="5">
      <t>バンゴウ</t>
    </rPh>
    <rPh sb="6" eb="8">
      <t>ダイヒョウ</t>
    </rPh>
    <phoneticPr fontId="9"/>
  </si>
  <si>
    <t>e-mail（代表）</t>
    <rPh sb="7" eb="9">
      <t>ダイヒョウ</t>
    </rPh>
    <phoneticPr fontId="9"/>
  </si>
  <si>
    <t>HPアドレス</t>
    <phoneticPr fontId="9"/>
  </si>
  <si>
    <t>所属するがん医療圏</t>
    <rPh sb="0" eb="2">
      <t>ショゾク</t>
    </rPh>
    <rPh sb="6" eb="8">
      <t>イリョウ</t>
    </rPh>
    <rPh sb="8" eb="9">
      <t>ケン</t>
    </rPh>
    <phoneticPr fontId="9"/>
  </si>
  <si>
    <t>所属する２次医療圏</t>
    <rPh sb="0" eb="2">
      <t>ショゾク</t>
    </rPh>
    <rPh sb="5" eb="6">
      <t>ジ</t>
    </rPh>
    <rPh sb="6" eb="8">
      <t>イリョウ</t>
    </rPh>
    <rPh sb="8" eb="9">
      <t>ケン</t>
    </rPh>
    <phoneticPr fontId="9"/>
  </si>
  <si>
    <t>(3)病床数等</t>
    <phoneticPr fontId="9" type="Hiragana"/>
  </si>
  <si>
    <t>①病床数</t>
    <rPh sb="1" eb="3">
      <t>ビョウショウ</t>
    </rPh>
    <rPh sb="3" eb="4">
      <t>スウ</t>
    </rPh>
    <phoneticPr fontId="9"/>
  </si>
  <si>
    <t>min</t>
    <phoneticPr fontId="9" type="Hiragana"/>
  </si>
  <si>
    <t>MAX</t>
    <phoneticPr fontId="9" type="Hiragana"/>
  </si>
  <si>
    <t>総数</t>
    <rPh sb="0" eb="2">
      <t>ソウスウ</t>
    </rPh>
    <phoneticPr fontId="9"/>
  </si>
  <si>
    <t>床</t>
    <rPh sb="0" eb="1">
      <t>ユカ</t>
    </rPh>
    <phoneticPr fontId="9"/>
  </si>
  <si>
    <t>　うち療養病床</t>
    <rPh sb="3" eb="5">
      <t>リョウヨウ</t>
    </rPh>
    <rPh sb="5" eb="7">
      <t>ビョウショウ</t>
    </rPh>
    <phoneticPr fontId="9"/>
  </si>
  <si>
    <t>　うち一般病床</t>
    <rPh sb="3" eb="5">
      <t>イッパン</t>
    </rPh>
    <rPh sb="5" eb="7">
      <t>ビョウショウ</t>
    </rPh>
    <phoneticPr fontId="9"/>
  </si>
  <si>
    <t>　うち特別療養環境室としている病床</t>
    <rPh sb="3" eb="5">
      <t>トクベツ</t>
    </rPh>
    <rPh sb="5" eb="7">
      <t>リョウヨウ</t>
    </rPh>
    <rPh sb="7" eb="9">
      <t>カンキョウ</t>
    </rPh>
    <rPh sb="9" eb="10">
      <t>シツ</t>
    </rPh>
    <rPh sb="15" eb="17">
      <t>ビョウショウ</t>
    </rPh>
    <phoneticPr fontId="9"/>
  </si>
  <si>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9" type="Hiragana"/>
  </si>
  <si>
    <t>②外来化学療法室</t>
  </si>
  <si>
    <t>(4)職員数</t>
    <phoneticPr fontId="9"/>
  </si>
  <si>
    <t>総職員数（事務職員含む、常勤職員の人数）</t>
    <phoneticPr fontId="9"/>
  </si>
  <si>
    <t>人</t>
    <rPh sb="0" eb="1">
      <t>ヒト</t>
    </rPh>
    <phoneticPr fontId="9"/>
  </si>
  <si>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</si>
  <si>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9"/>
  </si>
  <si>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9"/>
  </si>
  <si>
    <t>非常勤</t>
    <phoneticPr fontId="9"/>
  </si>
  <si>
    <t>常勤</t>
    <phoneticPr fontId="9"/>
  </si>
  <si>
    <t>※（常勤換算）</t>
    <phoneticPr fontId="9"/>
  </si>
  <si>
    <t>医師</t>
  </si>
  <si>
    <t>歯科医師</t>
    <rPh sb="0" eb="2">
      <t>シカ</t>
    </rPh>
    <rPh sb="2" eb="4">
      <t>イシ</t>
    </rPh>
    <phoneticPr fontId="9"/>
  </si>
  <si>
    <t>薬剤師</t>
    <rPh sb="0" eb="3">
      <t>ヤクザイシ</t>
    </rPh>
    <phoneticPr fontId="9"/>
  </si>
  <si>
    <t>保健師</t>
    <rPh sb="0" eb="2">
      <t>ホケン</t>
    </rPh>
    <rPh sb="2" eb="3">
      <t>シ</t>
    </rPh>
    <phoneticPr fontId="9"/>
  </si>
  <si>
    <t>助産師</t>
    <rPh sb="0" eb="3">
      <t>ジョサンシ</t>
    </rPh>
    <phoneticPr fontId="9"/>
  </si>
  <si>
    <t>看護師</t>
    <rPh sb="0" eb="2">
      <t>カンゴ</t>
    </rPh>
    <rPh sb="2" eb="3">
      <t>シ</t>
    </rPh>
    <phoneticPr fontId="9"/>
  </si>
  <si>
    <t>准看護師</t>
    <rPh sb="0" eb="1">
      <t>ジュン</t>
    </rPh>
    <rPh sb="1" eb="3">
      <t>カンゴ</t>
    </rPh>
    <rPh sb="3" eb="4">
      <t>シ</t>
    </rPh>
    <phoneticPr fontId="9"/>
  </si>
  <si>
    <t>理学療法士</t>
    <rPh sb="0" eb="2">
      <t>リガク</t>
    </rPh>
    <rPh sb="2" eb="4">
      <t>リョウホウ</t>
    </rPh>
    <rPh sb="4" eb="5">
      <t>シ</t>
    </rPh>
    <phoneticPr fontId="9"/>
  </si>
  <si>
    <t>作業療法士</t>
    <rPh sb="0" eb="2">
      <t>サギョウ</t>
    </rPh>
    <rPh sb="2" eb="4">
      <t>リョウホウ</t>
    </rPh>
    <rPh sb="4" eb="5">
      <t>シ</t>
    </rPh>
    <phoneticPr fontId="9"/>
  </si>
  <si>
    <t>視能訓練士</t>
    <rPh sb="0" eb="1">
      <t>シ</t>
    </rPh>
    <rPh sb="1" eb="2">
      <t>ノウ</t>
    </rPh>
    <rPh sb="2" eb="4">
      <t>クンレン</t>
    </rPh>
    <rPh sb="4" eb="5">
      <t>シ</t>
    </rPh>
    <phoneticPr fontId="9"/>
  </si>
  <si>
    <t>言語聴覚士</t>
    <rPh sb="0" eb="2">
      <t>ゲンゴ</t>
    </rPh>
    <rPh sb="2" eb="4">
      <t>チョウカク</t>
    </rPh>
    <rPh sb="4" eb="5">
      <t>シ</t>
    </rPh>
    <phoneticPr fontId="9"/>
  </si>
  <si>
    <t>義肢装具士</t>
    <rPh sb="0" eb="2">
      <t>ギシ</t>
    </rPh>
    <rPh sb="2" eb="4">
      <t>ソウグ</t>
    </rPh>
    <rPh sb="4" eb="5">
      <t>シ</t>
    </rPh>
    <phoneticPr fontId="9"/>
  </si>
  <si>
    <t>歯科衛生士</t>
    <rPh sb="0" eb="2">
      <t>シカ</t>
    </rPh>
    <rPh sb="2" eb="4">
      <t>エイセイ</t>
    </rPh>
    <rPh sb="4" eb="5">
      <t>シ</t>
    </rPh>
    <phoneticPr fontId="9"/>
  </si>
  <si>
    <t>歯科技工士</t>
    <rPh sb="0" eb="2">
      <t>シカ</t>
    </rPh>
    <rPh sb="2" eb="5">
      <t>ギコウシ</t>
    </rPh>
    <phoneticPr fontId="9"/>
  </si>
  <si>
    <t>診療放射線技師</t>
    <rPh sb="0" eb="2">
      <t>シンリョウ</t>
    </rPh>
    <rPh sb="2" eb="5">
      <t>ホウシャセン</t>
    </rPh>
    <rPh sb="5" eb="7">
      <t>ギシ</t>
    </rPh>
    <phoneticPr fontId="9"/>
  </si>
  <si>
    <t>臨床検査技師</t>
    <rPh sb="0" eb="2">
      <t>リンショウ</t>
    </rPh>
    <rPh sb="2" eb="4">
      <t>ケンサ</t>
    </rPh>
    <rPh sb="4" eb="6">
      <t>ギシ</t>
    </rPh>
    <phoneticPr fontId="9"/>
  </si>
  <si>
    <t>衛生検査技師</t>
    <rPh sb="0" eb="2">
      <t>エイセイ</t>
    </rPh>
    <rPh sb="2" eb="4">
      <t>ケンサ</t>
    </rPh>
    <rPh sb="4" eb="6">
      <t>ギシ</t>
    </rPh>
    <phoneticPr fontId="9"/>
  </si>
  <si>
    <t>臨床工学技士</t>
    <rPh sb="0" eb="2">
      <t>リンショウ</t>
    </rPh>
    <rPh sb="2" eb="4">
      <t>コウガク</t>
    </rPh>
    <rPh sb="4" eb="6">
      <t>ギシ</t>
    </rPh>
    <phoneticPr fontId="9"/>
  </si>
  <si>
    <t>管理栄養士</t>
    <rPh sb="0" eb="2">
      <t>カンリ</t>
    </rPh>
    <rPh sb="2" eb="4">
      <t>エイヨウ</t>
    </rPh>
    <rPh sb="4" eb="5">
      <t>シ</t>
    </rPh>
    <phoneticPr fontId="9"/>
  </si>
  <si>
    <t>栄養士</t>
    <rPh sb="0" eb="3">
      <t>エイヨウシ</t>
    </rPh>
    <phoneticPr fontId="9"/>
  </si>
  <si>
    <t>社会福祉士</t>
    <rPh sb="0" eb="5">
      <t>シャカイフクシシ</t>
    </rPh>
    <phoneticPr fontId="9"/>
  </si>
  <si>
    <t>精神保健福祉士</t>
    <rPh sb="0" eb="2">
      <t>セイシン</t>
    </rPh>
    <rPh sb="2" eb="4">
      <t>ホケン</t>
    </rPh>
    <rPh sb="4" eb="6">
      <t>フクシ</t>
    </rPh>
    <rPh sb="6" eb="7">
      <t>シ</t>
    </rPh>
    <phoneticPr fontId="9"/>
  </si>
  <si>
    <t>公認心理師</t>
    <rPh sb="0" eb="2">
      <t>コウニン</t>
    </rPh>
    <rPh sb="2" eb="4">
      <t>シンリ</t>
    </rPh>
    <rPh sb="4" eb="5">
      <t>シ</t>
    </rPh>
    <phoneticPr fontId="9"/>
  </si>
  <si>
    <t>介護福祉士</t>
    <rPh sb="0" eb="2">
      <t>カイゴ</t>
    </rPh>
    <rPh sb="2" eb="4">
      <t>フクシ</t>
    </rPh>
    <rPh sb="4" eb="5">
      <t>シ</t>
    </rPh>
    <phoneticPr fontId="9"/>
  </si>
  <si>
    <t>救命救急士</t>
    <rPh sb="0" eb="2">
      <t>キュウメイ</t>
    </rPh>
    <rPh sb="2" eb="4">
      <t>キュウキュウ</t>
    </rPh>
    <rPh sb="4" eb="5">
      <t>シ</t>
    </rPh>
    <phoneticPr fontId="9"/>
  </si>
  <si>
    <t>※②～④については、複数の資格を持つものは、両方にカウントする。</t>
    <phoneticPr fontId="9"/>
  </si>
  <si>
    <t>非常勤</t>
    <rPh sb="0" eb="3">
      <t>ヒジョウキン</t>
    </rPh>
    <phoneticPr fontId="9"/>
  </si>
  <si>
    <t>常勤</t>
    <rPh sb="0" eb="2">
      <t>ジョウキン</t>
    </rPh>
    <phoneticPr fontId="9"/>
  </si>
  <si>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9"/>
  </si>
  <si>
    <t>※（常勤換算）</t>
    <rPh sb="2" eb="4">
      <t>ジョウキン</t>
    </rPh>
    <rPh sb="4" eb="6">
      <t>カンサン</t>
    </rPh>
    <phoneticPr fontId="9"/>
  </si>
  <si>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</si>
  <si>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</si>
  <si>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</si>
  <si>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</si>
  <si>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</si>
  <si>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</si>
  <si>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</si>
  <si>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</si>
  <si>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</si>
  <si>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</si>
  <si>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</si>
  <si>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</si>
  <si>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</si>
  <si>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</si>
  <si>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</si>
  <si>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</si>
  <si>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</si>
  <si>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</si>
  <si>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</si>
  <si>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</si>
  <si>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</si>
  <si>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</si>
  <si>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</si>
  <si>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</si>
  <si>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</si>
  <si>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</si>
  <si>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</si>
  <si>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</si>
  <si>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</si>
  <si>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</si>
  <si>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</si>
  <si>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</si>
  <si>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</si>
  <si>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</si>
  <si>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</si>
  <si>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</si>
  <si>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</si>
  <si>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</si>
  <si>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</si>
  <si>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</si>
  <si>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</si>
  <si>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</si>
  <si>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</si>
  <si>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</si>
  <si>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</si>
  <si>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</si>
  <si>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</si>
  <si>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</si>
  <si>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</si>
  <si>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</si>
  <si>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</si>
  <si>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</si>
  <si>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3"/>
  </si>
  <si>
    <t>一般社団法人　日本乳癌学会　乳腺外科専門医</t>
    <rPh sb="14" eb="16">
      <t>ニュウセン</t>
    </rPh>
    <rPh sb="16" eb="18">
      <t>ゲカ</t>
    </rPh>
    <rPh sb="18" eb="21">
      <t>センモンイ</t>
    </rPh>
    <phoneticPr fontId="3"/>
  </si>
  <si>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</si>
  <si>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</si>
  <si>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</si>
  <si>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</si>
  <si>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</si>
  <si>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</si>
  <si>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</si>
  <si>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3"/>
  </si>
  <si>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3"/>
  </si>
  <si>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</si>
  <si>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</si>
  <si>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</si>
  <si>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</si>
  <si>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</si>
  <si>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</si>
  <si>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</si>
  <si>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9" type="Hiragana"/>
  </si>
  <si>
    <t>一般社団法人　日本内視鏡外科学会　産科婦人科領域　技術認定取得者</t>
    <phoneticPr fontId="9" type="Hiragana"/>
  </si>
  <si>
    <t>一般社団法人　日本内視鏡外科学会　消化器・一般外科領域　技術認定取得者</t>
    <phoneticPr fontId="9" type="Hiragana"/>
  </si>
  <si>
    <t>一般社団法人　日本内視鏡外科学会　泌尿器科領域　技術認定取得者</t>
    <phoneticPr fontId="9"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</si>
  <si>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</si>
  <si>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</si>
  <si>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</si>
  <si>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</si>
  <si>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</si>
  <si>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</si>
  <si>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9"/>
  </si>
  <si>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</si>
  <si>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</si>
  <si>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</si>
  <si>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</si>
  <si>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</si>
  <si>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</si>
  <si>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</si>
  <si>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</si>
  <si>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</si>
  <si>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</si>
  <si>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</si>
  <si>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</si>
  <si>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</si>
  <si>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</si>
  <si>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</si>
  <si>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</si>
  <si>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</si>
  <si>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</si>
  <si>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</si>
  <si>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</si>
  <si>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</si>
  <si>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</si>
  <si>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</si>
  <si>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</si>
  <si>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</si>
  <si>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</si>
  <si>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</si>
  <si>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9"/>
  </si>
  <si>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</si>
  <si>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9"/>
  </si>
  <si>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9"/>
  </si>
  <si>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</si>
  <si>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</si>
  <si>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9"/>
  </si>
  <si>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9"/>
  </si>
  <si>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</si>
  <si>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9"/>
  </si>
  <si>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</si>
  <si>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</si>
  <si>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</si>
  <si>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9"/>
  </si>
  <si>
    <t>一般社団法人　日本生殖心理学会　がん・生殖医療専門心理士</t>
    <phoneticPr fontId="9" type="Hiragana"/>
  </si>
  <si>
    <t>④その他の従事者</t>
    <rPh sb="3" eb="4">
      <t>タ</t>
    </rPh>
    <rPh sb="5" eb="8">
      <t>ジュウジシャ</t>
    </rPh>
    <phoneticPr fontId="9"/>
  </si>
  <si>
    <t>診療録管理部門の職員</t>
    <rPh sb="0" eb="3">
      <t>シンリョウロク</t>
    </rPh>
    <rPh sb="3" eb="5">
      <t>カンリ</t>
    </rPh>
    <rPh sb="5" eb="7">
      <t>ブモン</t>
    </rPh>
    <rPh sb="8" eb="10">
      <t>ショクイン</t>
    </rPh>
    <phoneticPr fontId="9"/>
  </si>
  <si>
    <t>公益財団法人　日本臨床心理士資格認定協会　臨床心理士</t>
    <phoneticPr fontId="9"/>
  </si>
  <si>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</si>
  <si>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9"/>
  </si>
  <si>
    <t>①夜間（深夜も含む）救急対応の可否</t>
    <rPh sb="1" eb="3">
      <t>ヤカン</t>
    </rPh>
    <rPh sb="4" eb="6">
      <t>シンヤ</t>
    </rPh>
    <rPh sb="7" eb="8">
      <t>フク</t>
    </rPh>
    <rPh sb="10" eb="12">
      <t>キュウキュウ</t>
    </rPh>
    <rPh sb="12" eb="14">
      <t>タイオウ</t>
    </rPh>
    <rPh sb="15" eb="17">
      <t>カヒ</t>
    </rPh>
    <phoneticPr fontId="9"/>
  </si>
  <si>
    <t>（可／否）</t>
    <rPh sb="1" eb="2">
      <t>カ</t>
    </rPh>
    <rPh sb="3" eb="4">
      <t>ヒ</t>
    </rPh>
    <phoneticPr fontId="9"/>
  </si>
  <si>
    <t>②各種委員会の設置状況</t>
    <rPh sb="1" eb="3">
      <t>カクシュ</t>
    </rPh>
    <rPh sb="3" eb="6">
      <t>イインカイ</t>
    </rPh>
    <rPh sb="7" eb="9">
      <t>セッチ</t>
    </rPh>
    <rPh sb="9" eb="11">
      <t>ジョウキョウ</t>
    </rPh>
    <phoneticPr fontId="9"/>
  </si>
  <si>
    <t>倫理審査委員会</t>
    <rPh sb="0" eb="2">
      <t>リンリ</t>
    </rPh>
    <rPh sb="2" eb="4">
      <t>シンサ</t>
    </rPh>
    <rPh sb="4" eb="7">
      <t>イインカイ</t>
    </rPh>
    <phoneticPr fontId="9"/>
  </si>
  <si>
    <t>（あり／なし）</t>
    <phoneticPr fontId="9"/>
  </si>
  <si>
    <t>年</t>
    <rPh sb="0" eb="1">
      <t>ネン</t>
    </rPh>
    <phoneticPr fontId="9"/>
  </si>
  <si>
    <t>治験審査委員会</t>
    <rPh sb="0" eb="2">
      <t>チケン</t>
    </rPh>
    <rPh sb="2" eb="4">
      <t>シンサ</t>
    </rPh>
    <rPh sb="4" eb="7">
      <t>イインカイ</t>
    </rPh>
    <phoneticPr fontId="9"/>
  </si>
  <si>
    <t>医療安全委員会</t>
    <rPh sb="0" eb="2">
      <t>イリョウ</t>
    </rPh>
    <rPh sb="2" eb="4">
      <t>アンゼン</t>
    </rPh>
    <rPh sb="4" eb="7">
      <t>イインカイ</t>
    </rPh>
    <phoneticPr fontId="9"/>
  </si>
  <si>
    <t>(6)患者数・診療件数の状況</t>
    <rPh sb="7" eb="9">
      <t>シンリョウ</t>
    </rPh>
    <rPh sb="9" eb="11">
      <t>ケンスウ</t>
    </rPh>
    <phoneticPr fontId="9"/>
  </si>
  <si>
    <t>①</t>
    <phoneticPr fontId="9"/>
  </si>
  <si>
    <t>患者数等</t>
    <phoneticPr fontId="9"/>
  </si>
  <si>
    <t>年間入院患者延べ数※１</t>
    <rPh sb="0" eb="2">
      <t>ネンカン</t>
    </rPh>
    <rPh sb="2" eb="4">
      <t>ニュウイン</t>
    </rPh>
    <rPh sb="4" eb="6">
      <t>カンジャ</t>
    </rPh>
    <rPh sb="6" eb="7">
      <t>ノ</t>
    </rPh>
    <rPh sb="8" eb="9">
      <t>スウ</t>
    </rPh>
    <phoneticPr fontId="9"/>
  </si>
  <si>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</si>
  <si>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9"/>
  </si>
  <si>
    <t>％</t>
    <phoneticPr fontId="9"/>
  </si>
  <si>
    <t>年間外来がん患者延べ数※3</t>
    <rPh sb="0" eb="2">
      <t>ネンカン</t>
    </rPh>
    <rPh sb="2" eb="4">
      <t>ガイライ</t>
    </rPh>
    <rPh sb="6" eb="8">
      <t>カンジャ</t>
    </rPh>
    <rPh sb="8" eb="9">
      <t>ノ</t>
    </rPh>
    <rPh sb="10" eb="11">
      <t>カズ</t>
    </rPh>
    <phoneticPr fontId="9"/>
  </si>
  <si>
    <t>年間院内死亡がん患者数</t>
    <rPh sb="0" eb="2">
      <t>ねんかん</t>
    </rPh>
    <rPh sb="2" eb="4">
      <t>いんない</t>
    </rPh>
    <rPh sb="4" eb="6">
      <t>しぼう</t>
    </rPh>
    <rPh sb="8" eb="11">
      <t>かんじゃすう</t>
    </rPh>
    <phoneticPr fontId="9" type="Hiragana"/>
  </si>
  <si>
    <t>②</t>
    <phoneticPr fontId="9"/>
  </si>
  <si>
    <t>検査等の実施状況</t>
    <rPh sb="0" eb="2">
      <t>ケンサ</t>
    </rPh>
    <rPh sb="2" eb="3">
      <t>トウ</t>
    </rPh>
    <rPh sb="4" eb="6">
      <t>ジッシ</t>
    </rPh>
    <rPh sb="6" eb="8">
      <t>ジョウキョウ</t>
    </rPh>
    <phoneticPr fontId="9"/>
  </si>
  <si>
    <t>ア</t>
    <phoneticPr fontId="9"/>
  </si>
  <si>
    <t>病理診断の件数</t>
    <rPh sb="0" eb="1">
      <t>ビョウ</t>
    </rPh>
    <rPh sb="1" eb="2">
      <t>リ</t>
    </rPh>
    <rPh sb="2" eb="4">
      <t>シンダン</t>
    </rPh>
    <rPh sb="5" eb="7">
      <t>ケンスウ</t>
    </rPh>
    <phoneticPr fontId="9"/>
  </si>
  <si>
    <t>病理組織診断</t>
    <rPh sb="2" eb="4">
      <t>ソシキ</t>
    </rPh>
    <phoneticPr fontId="9"/>
  </si>
  <si>
    <t>件</t>
    <rPh sb="0" eb="1">
      <t>ケン</t>
    </rPh>
    <phoneticPr fontId="9"/>
  </si>
  <si>
    <t>病理細胞診断</t>
    <rPh sb="0" eb="2">
      <t>びょうり</t>
    </rPh>
    <phoneticPr fontId="9" type="Hiragana"/>
  </si>
  <si>
    <t>病理組織迅速組織顕微鏡検査</t>
    <phoneticPr fontId="9" type="Hiragana"/>
  </si>
  <si>
    <t>手術等の状況</t>
    <rPh sb="0" eb="2">
      <t>シュジュツ</t>
    </rPh>
    <rPh sb="2" eb="3">
      <t>トウ</t>
    </rPh>
    <rPh sb="4" eb="6">
      <t>ジョウキョウ</t>
    </rPh>
    <phoneticPr fontId="9"/>
  </si>
  <si>
    <t>大腸がん（C18$、C19、C20、D01.0、D01.1、D01.2）の手術件数</t>
    <rPh sb="37" eb="39">
      <t>シュジュツ</t>
    </rPh>
    <rPh sb="39" eb="41">
      <t>ケンスウ</t>
    </rPh>
    <phoneticPr fontId="9"/>
  </si>
  <si>
    <t xml:space="preserve">開腹手術　K7193、K739$、K740$
</t>
    <rPh sb="0" eb="2">
      <t>カイフク</t>
    </rPh>
    <rPh sb="2" eb="4">
      <t>シュジュツ</t>
    </rPh>
    <phoneticPr fontId="9"/>
  </si>
  <si>
    <t xml:space="preserve">腹腔鏡下手術　K719-3、K740-2$
</t>
    <phoneticPr fontId="9"/>
  </si>
  <si>
    <t xml:space="preserve"> </t>
    <phoneticPr fontId="9" type="Hiragana"/>
  </si>
  <si>
    <t>うち、内視鏡手術用支援機器を用いるもの（ロボット支援手術）</t>
    <phoneticPr fontId="9" type="Hiragana"/>
  </si>
  <si>
    <t>内視鏡手術　K721$、K721-4、K739-2、Ｋ739-3</t>
    <rPh sb="0" eb="3">
      <t>ナイシキョウ</t>
    </rPh>
    <rPh sb="3" eb="5">
      <t>シュジュツ</t>
    </rPh>
    <phoneticPr fontId="9"/>
  </si>
  <si>
    <t>肺がん（C34$、D02.2）の手術件数</t>
    <rPh sb="16" eb="18">
      <t>シュジュツ</t>
    </rPh>
    <rPh sb="18" eb="20">
      <t>ケンスウ</t>
    </rPh>
    <phoneticPr fontId="9"/>
  </si>
  <si>
    <t>開胸手術　K511$、K514$、K518$</t>
    <rPh sb="0" eb="1">
      <t>カイ</t>
    </rPh>
    <rPh sb="1" eb="2">
      <t>キョウ</t>
    </rPh>
    <rPh sb="2" eb="4">
      <t>シュジュツ</t>
    </rPh>
    <phoneticPr fontId="9"/>
  </si>
  <si>
    <t>胸腔鏡下手術　K514-2$</t>
    <phoneticPr fontId="9"/>
  </si>
  <si>
    <t>　</t>
    <phoneticPr fontId="9"/>
  </si>
  <si>
    <t>胃がん（C16$、D00.2）の手術件数</t>
    <rPh sb="0" eb="1">
      <t>イ</t>
    </rPh>
    <rPh sb="16" eb="18">
      <t>シュジュツ</t>
    </rPh>
    <rPh sb="18" eb="20">
      <t>ケンスウ</t>
    </rPh>
    <phoneticPr fontId="9"/>
  </si>
  <si>
    <t>開腹手術　K654-2、K6552、K655-42、K6572</t>
    <rPh sb="0" eb="2">
      <t>カイフク</t>
    </rPh>
    <rPh sb="2" eb="4">
      <t>シュジュツ</t>
    </rPh>
    <phoneticPr fontId="9"/>
  </si>
  <si>
    <t>腹腔鏡下手術　K654-3$、K655-22、K655-52、K655-23、K655-53、K657-22、K657-24、K657-23</t>
    <phoneticPr fontId="9"/>
  </si>
  <si>
    <t>　　うち、腹腔鏡下手術（内視鏡手術用支援機器を用いるもの（ロボット支援手術））　K655-23、K655-53、K657-24</t>
    <phoneticPr fontId="9" type="Hiragana"/>
  </si>
  <si>
    <t>内視鏡手術　粘膜切除術（EMR）K6531</t>
    <rPh sb="0" eb="3">
      <t>ナイシキョウ</t>
    </rPh>
    <rPh sb="3" eb="5">
      <t>シュジュツ</t>
    </rPh>
    <phoneticPr fontId="9"/>
  </si>
  <si>
    <t>内視鏡手術　粘膜下層剥離術（ESD）K6532</t>
    <rPh sb="0" eb="3">
      <t>ナイシキョウ</t>
    </rPh>
    <rPh sb="3" eb="5">
      <t>シュジュツ</t>
    </rPh>
    <phoneticPr fontId="9"/>
  </si>
  <si>
    <t>乳がん（C50$、D05$）の手術件数</t>
    <rPh sb="15" eb="17">
      <t>シュジュツ</t>
    </rPh>
    <rPh sb="17" eb="19">
      <t>ケンスウ</t>
    </rPh>
    <phoneticPr fontId="9"/>
  </si>
  <si>
    <t>手術　K476$</t>
    <rPh sb="0" eb="2">
      <t>シュジュツ</t>
    </rPh>
    <phoneticPr fontId="9"/>
  </si>
  <si>
    <t>乳癌冷凍凝固摘出術　K475-2</t>
    <rPh sb="0" eb="2">
      <t>ニュウガン</t>
    </rPh>
    <rPh sb="2" eb="4">
      <t>レイトウ</t>
    </rPh>
    <rPh sb="4" eb="6">
      <t>ギョウコ</t>
    </rPh>
    <rPh sb="6" eb="8">
      <t>テキシュツ</t>
    </rPh>
    <rPh sb="8" eb="9">
      <t>ジュツ</t>
    </rPh>
    <phoneticPr fontId="9"/>
  </si>
  <si>
    <t>乳腺腫瘍摘出術（生検）　K474$</t>
    <rPh sb="0" eb="2">
      <t>ニュウセン</t>
    </rPh>
    <rPh sb="2" eb="4">
      <t>シュヨウ</t>
    </rPh>
    <rPh sb="4" eb="6">
      <t>テキシュツ</t>
    </rPh>
    <rPh sb="6" eb="7">
      <t>ジュツ</t>
    </rPh>
    <rPh sb="8" eb="9">
      <t>セイ</t>
    </rPh>
    <rPh sb="9" eb="10">
      <t>ケン</t>
    </rPh>
    <phoneticPr fontId="9"/>
  </si>
  <si>
    <t>乳腺腫瘍画像ガイド下吸引術　K474-3$</t>
    <rPh sb="0" eb="2">
      <t>ニュウセン</t>
    </rPh>
    <rPh sb="2" eb="4">
      <t>シュヨウ</t>
    </rPh>
    <rPh sb="4" eb="6">
      <t>ガゾウ</t>
    </rPh>
    <rPh sb="9" eb="10">
      <t>シタ</t>
    </rPh>
    <rPh sb="10" eb="12">
      <t>キュウイン</t>
    </rPh>
    <rPh sb="12" eb="13">
      <t>ジュツ</t>
    </rPh>
    <phoneticPr fontId="9"/>
  </si>
  <si>
    <t>乳房再建術（乳房切除後）　二次的に行うもの　K476-32</t>
    <rPh sb="14" eb="15">
      <t>ツギ</t>
    </rPh>
    <phoneticPr fontId="9"/>
  </si>
  <si>
    <t>前立腺がん（C61）の手術件数</t>
    <rPh sb="0" eb="3">
      <t>ゼンリツセン</t>
    </rPh>
    <rPh sb="11" eb="13">
      <t>シュジュツ</t>
    </rPh>
    <rPh sb="13" eb="15">
      <t>ケンスウ</t>
    </rPh>
    <phoneticPr fontId="9"/>
  </si>
  <si>
    <t xml:space="preserve">開腹手術　K843
</t>
    <rPh sb="0" eb="2">
      <t>カイフク</t>
    </rPh>
    <rPh sb="2" eb="4">
      <t>シュジュツ</t>
    </rPh>
    <phoneticPr fontId="9"/>
  </si>
  <si>
    <t>腹腔鏡下手術　K843-2、K843-3、K843-4</t>
    <phoneticPr fontId="9"/>
  </si>
  <si>
    <t xml:space="preserve">　　うち、腹腔鏡下手術（内視鏡手術用支援機器を用いるもの（ロボット支援手術））　K843-4	</t>
    <phoneticPr fontId="9"/>
  </si>
  <si>
    <t>肝臓がん（C22$、D01.5）の手術件数</t>
    <rPh sb="17" eb="19">
      <t>シュジュツ</t>
    </rPh>
    <rPh sb="19" eb="21">
      <t>ケンスウ</t>
    </rPh>
    <phoneticPr fontId="9"/>
  </si>
  <si>
    <t xml:space="preserve">開腹手術　K695$
</t>
    <rPh sb="0" eb="2">
      <t>カイフク</t>
    </rPh>
    <rPh sb="2" eb="4">
      <t>シュジュツ</t>
    </rPh>
    <phoneticPr fontId="9"/>
  </si>
  <si>
    <t>腹腔鏡下手術　K695-2$</t>
    <rPh sb="0" eb="2">
      <t>フククウ</t>
    </rPh>
    <rPh sb="2" eb="3">
      <t>カガミ</t>
    </rPh>
    <rPh sb="3" eb="4">
      <t>シタ</t>
    </rPh>
    <rPh sb="4" eb="6">
      <t>シュジュツ</t>
    </rPh>
    <phoneticPr fontId="9"/>
  </si>
  <si>
    <t>マイクロ波凝固法　K697-2$　　</t>
    <phoneticPr fontId="9"/>
  </si>
  <si>
    <t>ラジオ波焼灼療法　K697-3$</t>
    <phoneticPr fontId="9"/>
  </si>
  <si>
    <t>胆のうがん（C23）の手術件数</t>
    <rPh sb="0" eb="1">
      <t>タン</t>
    </rPh>
    <rPh sb="11" eb="13">
      <t>シュジュツ</t>
    </rPh>
    <rPh sb="13" eb="15">
      <t>ケンスウ</t>
    </rPh>
    <phoneticPr fontId="9"/>
  </si>
  <si>
    <t>開腹手術　K675$</t>
    <rPh sb="0" eb="2">
      <t>カイフク</t>
    </rPh>
    <rPh sb="2" eb="4">
      <t>シュジュツ</t>
    </rPh>
    <phoneticPr fontId="9"/>
  </si>
  <si>
    <t>腹腔鏡下手術　K675-2</t>
    <phoneticPr fontId="9"/>
  </si>
  <si>
    <t>胆管がん（C240、C241、C248、C249）の手術件数</t>
    <rPh sb="0" eb="2">
      <t>タンカン</t>
    </rPh>
    <rPh sb="26" eb="28">
      <t>シュジュツ</t>
    </rPh>
    <rPh sb="28" eb="30">
      <t>ケンスウ</t>
    </rPh>
    <phoneticPr fontId="9"/>
  </si>
  <si>
    <t>開腹手術　K677、K677-2</t>
    <rPh sb="0" eb="2">
      <t>カイフク</t>
    </rPh>
    <rPh sb="2" eb="4">
      <t>シュジュツ</t>
    </rPh>
    <phoneticPr fontId="9"/>
  </si>
  <si>
    <t>膵臓がん（C250、C251、C252、C253、C254、C257、C258、C259）の手術件数</t>
    <rPh sb="0" eb="2">
      <t>スイゾウ</t>
    </rPh>
    <rPh sb="46" eb="48">
      <t>シュジュツ</t>
    </rPh>
    <rPh sb="48" eb="50">
      <t>ケンスウ</t>
    </rPh>
    <phoneticPr fontId="9"/>
  </si>
  <si>
    <t xml:space="preserve">開腹手術　K700-2、K702$、K703$、K704
</t>
    <rPh sb="0" eb="2">
      <t>カイフク</t>
    </rPh>
    <rPh sb="2" eb="4">
      <t>シュジュツ</t>
    </rPh>
    <phoneticPr fontId="9"/>
  </si>
  <si>
    <t>腹腔鏡下手術　K700-3、K702-2$、K703-2$</t>
    <phoneticPr fontId="9"/>
  </si>
  <si>
    <t>うち、内視鏡手術用支援機器（ロボット支援手術）を用いて行った件数</t>
    <phoneticPr fontId="9" type="Hiragana"/>
  </si>
  <si>
    <t>放射線治療の状況</t>
    <rPh sb="0" eb="3">
      <t>ホウシャセン</t>
    </rPh>
    <rPh sb="3" eb="5">
      <t>チリョウ</t>
    </rPh>
    <rPh sb="6" eb="8">
      <t>ジョウキョウ</t>
    </rPh>
    <phoneticPr fontId="9"/>
  </si>
  <si>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</si>
  <si>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</si>
  <si>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</si>
  <si>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</si>
  <si>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</si>
  <si>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9"/>
  </si>
  <si>
    <t>密封小線源治療</t>
    <rPh sb="0" eb="2">
      <t>ミップウ</t>
    </rPh>
    <rPh sb="2" eb="5">
      <t>ショウセンゲン</t>
    </rPh>
    <rPh sb="5" eb="7">
      <t>チリョウ</t>
    </rPh>
    <phoneticPr fontId="9"/>
  </si>
  <si>
    <t>核医学治療</t>
    <rPh sb="0" eb="1">
      <t>カク</t>
    </rPh>
    <rPh sb="1" eb="3">
      <t>イガク</t>
    </rPh>
    <rPh sb="3" eb="5">
      <t>チリョウ</t>
    </rPh>
    <phoneticPr fontId="9"/>
  </si>
  <si>
    <t>※原発巣に記載してください。</t>
  </si>
  <si>
    <t>肝がん</t>
    <rPh sb="0" eb="1">
      <t>カン</t>
    </rPh>
    <phoneticPr fontId="9"/>
  </si>
  <si>
    <t>乳がん</t>
    <rPh sb="0" eb="1">
      <t>ニュウ</t>
    </rPh>
    <phoneticPr fontId="9"/>
  </si>
  <si>
    <t>身体症状の緩和を行った症例数</t>
    <rPh sb="0" eb="2">
      <t>シンタイ</t>
    </rPh>
    <rPh sb="2" eb="4">
      <t>ショウジョウ</t>
    </rPh>
    <rPh sb="5" eb="7">
      <t>カンワ</t>
    </rPh>
    <rPh sb="8" eb="9">
      <t>オコナ</t>
    </rPh>
    <rPh sb="11" eb="13">
      <t>ショウレイ</t>
    </rPh>
    <rPh sb="13" eb="14">
      <t>スウ</t>
    </rPh>
    <phoneticPr fontId="9"/>
  </si>
  <si>
    <t>精神症状の緩和を行った症例数</t>
    <rPh sb="0" eb="2">
      <t>セイシン</t>
    </rPh>
    <rPh sb="2" eb="4">
      <t>ショウジョウ</t>
    </rPh>
    <rPh sb="5" eb="7">
      <t>カンワ</t>
    </rPh>
    <rPh sb="8" eb="9">
      <t>オコナ</t>
    </rPh>
    <rPh sb="11" eb="13">
      <t>ショウレイ</t>
    </rPh>
    <rPh sb="13" eb="14">
      <t>スウ</t>
    </rPh>
    <phoneticPr fontId="9"/>
  </si>
  <si>
    <t>社会的苦痛に対する緩和を行った症例数</t>
    <phoneticPr fontId="9"/>
  </si>
  <si>
    <t>　上記のうち、精巣内精子採取術（Onco-TESE）を行った患者の人数</t>
    <rPh sb="1" eb="3">
      <t>じょうき</t>
    </rPh>
    <rPh sb="33" eb="35">
      <t>にんずう</t>
    </rPh>
    <phoneticPr fontId="9"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</si>
  <si>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</si>
  <si>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</si>
  <si>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</si>
  <si>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</si>
  <si>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</si>
  <si>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9"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</si>
  <si>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</si>
  <si>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</si>
  <si>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</si>
  <si>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</si>
  <si>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9" type="Hiragana"/>
  </si>
  <si>
    <t>(9)小児がん患者への対応について</t>
    <rPh sb="3" eb="5">
      <t>ショウニ</t>
    </rPh>
    <rPh sb="7" eb="9">
      <t>カンジャ</t>
    </rPh>
    <rPh sb="11" eb="13">
      <t>タイオウ</t>
    </rPh>
    <phoneticPr fontId="9"/>
  </si>
  <si>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</si>
  <si>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</si>
  <si>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</si>
  <si>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9" type="Hiragana"/>
  </si>
  <si>
    <t>分</t>
    <rPh sb="0" eb="1">
      <t>フン</t>
    </rPh>
    <phoneticPr fontId="9"/>
  </si>
  <si>
    <t>(10)その他の施設について</t>
    <rPh sb="6" eb="7">
      <t>ほか</t>
    </rPh>
    <rPh sb="8" eb="10">
      <t>しせつ</t>
    </rPh>
    <phoneticPr fontId="9" type="Hiragana"/>
  </si>
  <si>
    <t>集中治療室を設置している。</t>
  </si>
  <si>
    <t>緩和ケア病棟を有している。</t>
    <rPh sb="0" eb="2">
      <t>カンワ</t>
    </rPh>
    <rPh sb="4" eb="6">
      <t>ビョウトウ</t>
    </rPh>
    <rPh sb="7" eb="8">
      <t>ユウ</t>
    </rPh>
    <phoneticPr fontId="9"/>
  </si>
  <si>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9" type="Hiragana"/>
  </si>
  <si>
    <t>(11)その他</t>
    <rPh sb="6" eb="7">
      <t>ほか</t>
    </rPh>
    <phoneticPr fontId="9" type="Hiragana"/>
  </si>
  <si>
    <t>がん検診後の精密検査を実施している。</t>
    <rPh sb="2" eb="4">
      <t>けんしん</t>
    </rPh>
    <rPh sb="4" eb="5">
      <t>あと</t>
    </rPh>
    <rPh sb="6" eb="8">
      <t>せいみつ</t>
    </rPh>
    <rPh sb="8" eb="10">
      <t>けんさ</t>
    </rPh>
    <rPh sb="11" eb="13">
      <t>じっし</t>
    </rPh>
    <phoneticPr fontId="9" type="Hiragana"/>
  </si>
  <si>
    <t>未入力あり</t>
    <rPh sb="0" eb="3">
      <t>ミニュウリョク</t>
    </rPh>
    <phoneticPr fontId="9"/>
  </si>
  <si>
    <t>○</t>
    <phoneticPr fontId="9"/>
  </si>
  <si>
    <t>×</t>
    <phoneticPr fontId="9"/>
  </si>
  <si>
    <t>医療機関名</t>
    <rPh sb="0" eb="2">
      <t>イリョウ</t>
    </rPh>
    <rPh sb="2" eb="4">
      <t>キカン</t>
    </rPh>
    <rPh sb="4" eb="5">
      <t>メイ</t>
    </rPh>
    <phoneticPr fontId="9"/>
  </si>
  <si>
    <t>要件</t>
    <rPh sb="0" eb="2">
      <t>ヨウケン</t>
    </rPh>
    <phoneticPr fontId="9"/>
  </si>
  <si>
    <t>要件区分</t>
    <rPh sb="0" eb="2">
      <t>ヨウケン</t>
    </rPh>
    <rPh sb="2" eb="4">
      <t>クブン</t>
    </rPh>
    <phoneticPr fontId="9"/>
  </si>
  <si>
    <t>備考欄</t>
    <rPh sb="0" eb="2">
      <t>ビコウ</t>
    </rPh>
    <rPh sb="2" eb="3">
      <t>ラン</t>
    </rPh>
    <phoneticPr fontId="9"/>
  </si>
  <si>
    <t>※印刷範囲外です。メモ書きとして使えますが、提出前には個人情報などの</t>
    <phoneticPr fontId="9"/>
  </si>
  <si>
    <t>診療体制</t>
    <phoneticPr fontId="9"/>
  </si>
  <si>
    <t>（１）</t>
    <phoneticPr fontId="9"/>
  </si>
  <si>
    <t>診療機能</t>
  </si>
  <si>
    <t>集学的治療等の提供体制及び標準的治療等の提供</t>
  </si>
  <si>
    <t>別紙２に詳細を記載してください。</t>
    <rPh sb="0" eb="2">
      <t>ベッシ</t>
    </rPh>
    <rPh sb="4" eb="6">
      <t>ショウサイ</t>
    </rPh>
    <rPh sb="7" eb="9">
      <t>キサイ</t>
    </rPh>
    <phoneticPr fontId="9"/>
  </si>
  <si>
    <t>別紙３に詳細を記載してください。</t>
    <rPh sb="0" eb="2">
      <t>ベッシ</t>
    </rPh>
    <rPh sb="4" eb="6">
      <t>ショウサイ</t>
    </rPh>
    <rPh sb="7" eb="9">
      <t>キサイ</t>
    </rPh>
    <phoneticPr fontId="9"/>
  </si>
  <si>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</si>
  <si>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</si>
  <si>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</si>
  <si>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</si>
  <si>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</si>
  <si>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</si>
  <si>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9"/>
  </si>
  <si>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</si>
  <si>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</si>
  <si>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9"/>
  </si>
  <si>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</si>
  <si>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</si>
  <si>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9"/>
  </si>
  <si>
    <t>ⅳ</t>
  </si>
  <si>
    <t>臨床倫理的、社会的な問題を解決するための、具体的な事例に則した、患者支援の充実や多職種間の連携強化を目的とした院内全体の多職種によるカンファレンス</t>
    <phoneticPr fontId="9"/>
  </si>
  <si>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9"/>
  </si>
  <si>
    <t>検討した内容について、診療録に記録の上、関係者間で共有している。</t>
    <phoneticPr fontId="9"/>
  </si>
  <si>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9"/>
  </si>
  <si>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</si>
  <si>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9"/>
  </si>
  <si>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</si>
  <si>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9"/>
  </si>
  <si>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</si>
  <si>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</si>
  <si>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</si>
  <si>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9"/>
  </si>
  <si>
    <t>外来での核医学治療（RI内用療法）を提供している。</t>
    <rPh sb="18" eb="20">
      <t>テイキョウ</t>
    </rPh>
    <phoneticPr fontId="9"/>
  </si>
  <si>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</si>
  <si>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9"/>
  </si>
  <si>
    <t>免疫関連有害事象を含む有害事象に対して、他診療科や他病院と連携する等して対応している。</t>
    <phoneticPr fontId="9"/>
  </si>
  <si>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</si>
  <si>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</si>
  <si>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</si>
  <si>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</si>
  <si>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</si>
  <si>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</si>
  <si>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9"/>
  </si>
  <si>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</si>
  <si>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9"/>
  </si>
  <si>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</si>
  <si>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</si>
  <si>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</si>
  <si>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</si>
  <si>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9"/>
  </si>
  <si>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</si>
  <si>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9"/>
  </si>
  <si>
    <t>リンクナース：医療施設において、各種専門チームや委員会と病棟看護師等をつなぐ役割を持つ看護師をいう。</t>
    <phoneticPr fontId="9"/>
  </si>
  <si>
    <t>患者や家族に対し、必要に応じて、アドバンス・ケア・プランニングを含めた意思決定支援を提供できる体制を整備している。</t>
    <phoneticPr fontId="9"/>
  </si>
  <si>
    <t>アドバンス・ケア・プランニング：人生の最終段階の医療・ケアについて、本人が家族等や医療・ケアチームと事前に繰り返し話し合うプロセスのこと。</t>
    <phoneticPr fontId="9"/>
  </si>
  <si>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</si>
  <si>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9"/>
  </si>
  <si>
    <t>別紙７に詳細を記載してください。</t>
    <rPh sb="0" eb="2">
      <t>ベッシ</t>
    </rPh>
    <rPh sb="4" eb="6">
      <t>ショウサイ</t>
    </rPh>
    <rPh sb="7" eb="9">
      <t>キサイ</t>
    </rPh>
    <phoneticPr fontId="9"/>
  </si>
  <si>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</si>
  <si>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</si>
  <si>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9"/>
  </si>
  <si>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9"/>
  </si>
  <si>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</si>
  <si>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</si>
  <si>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</si>
  <si>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</si>
  <si>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9"/>
  </si>
  <si>
    <t>PRO：自覚症状やＱＯＬに関する対応の評価のために行う患者の主観的な報告をまとめた評価のこと。</t>
    <phoneticPr fontId="9"/>
  </si>
  <si>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</si>
  <si>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</si>
  <si>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</si>
  <si>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</si>
  <si>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</si>
  <si>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</si>
  <si>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</si>
  <si>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</si>
  <si>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</si>
  <si>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</si>
  <si>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</si>
  <si>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9"/>
  </si>
  <si>
    <t>ピア・サポート：患者・経験者やその家族がピア（仲間）として体験を共有し、共に考えることで、患者や家族等を支援すること。</t>
    <phoneticPr fontId="9"/>
  </si>
  <si>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</si>
  <si>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</si>
  <si>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9"/>
  </si>
  <si>
    <t>セカンドオピニオンを提示する場合は、必要に応じてオンラインでの相談を受け付けることができる体制を確保している。</t>
  </si>
  <si>
    <t>それぞれの特性に応じた診療等の提供体制</t>
    <phoneticPr fontId="9"/>
  </si>
  <si>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</si>
  <si>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9"/>
  </si>
  <si>
    <t>それらの相談に応じる多職種からなるＡＹＡ世代支援チームを設置している。</t>
    <phoneticPr fontId="9"/>
  </si>
  <si>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</si>
  <si>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</si>
  <si>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9"/>
  </si>
  <si>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</si>
  <si>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別紙10に詳細を記載してください。</t>
    <phoneticPr fontId="9"/>
  </si>
  <si>
    <t>医療機関としてのＢＣＰを策定している。</t>
    <phoneticPr fontId="9"/>
  </si>
  <si>
    <t>（２）</t>
    <phoneticPr fontId="9"/>
  </si>
  <si>
    <t>診療従事者</t>
  </si>
  <si>
    <t>当該施設で対応可能ながんについて専門的な知識及び技能を有する手術療法に携わる常勤の医師の人数</t>
    <rPh sb="44" eb="46">
      <t>ニンズウ</t>
    </rPh>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</si>
  <si>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9"/>
  </si>
  <si>
    <t>※一人以上の配置が必要です。</t>
  </si>
  <si>
    <t>リハビリテーションに携わる専門的な知識および技能を有する医師の人数</t>
    <phoneticPr fontId="9"/>
  </si>
  <si>
    <t>※一人以上の配置が必要です。</t>
    <phoneticPr fontId="9"/>
  </si>
  <si>
    <t>専任の薬物療法に携わる専門的な知識及び技能を有する常勤の薬剤師の人数</t>
    <rPh sb="32" eb="34">
      <t>ニンズウ</t>
    </rPh>
    <phoneticPr fontId="9"/>
  </si>
  <si>
    <t>外来化学療法室に配置されている、専従の薬物療法に携わる専門的な知識及び技能を有する常勤の看護師の人数</t>
    <rPh sb="8" eb="10">
      <t>ハイチ</t>
    </rPh>
    <rPh sb="48" eb="50">
      <t>ニンズウ</t>
    </rPh>
    <phoneticPr fontId="9"/>
  </si>
  <si>
    <t>緩和ケアチームに配置されている、専従の緩和ケアに携わる専門的な知識及び技能を有する常勤の看護師の人数</t>
    <rPh sb="8" eb="10">
      <t>ハイチ</t>
    </rPh>
    <rPh sb="48" eb="50">
      <t>ニンズウ</t>
    </rPh>
    <phoneticPr fontId="9"/>
  </si>
  <si>
    <t>緩和ケアチームに配置されている、緩和ケアに携わる専門的な知識及び技能を有する薬剤師の人数　　（他部署との兼任を可とする。）</t>
    <rPh sb="8" eb="10">
      <t>ハイチ</t>
    </rPh>
    <rPh sb="42" eb="44">
      <t>ニンズウ</t>
    </rPh>
    <phoneticPr fontId="9"/>
  </si>
  <si>
    <t>緩和ケアチームに配置されている、相談支援に携わる専門的な知識及び技能を有する者の人数　　（他部署との兼任を可とする。）</t>
    <rPh sb="8" eb="10">
      <t>ハイチ</t>
    </rPh>
    <rPh sb="40" eb="42">
      <t>ニンズウ</t>
    </rPh>
    <phoneticPr fontId="9"/>
  </si>
  <si>
    <t>緩和ケアチームに協力する、公認心理師等の医療心理に携わる専門的な知識及び技能を有する者の人数</t>
    <rPh sb="44" eb="46">
      <t>ニンズウ</t>
    </rPh>
    <phoneticPr fontId="9"/>
  </si>
  <si>
    <t>がんのリハビリテーションに係る業務に携わる専門的な知識および技能を有する理学療法士、作業療法士、言語聴覚士等の人数</t>
    <rPh sb="55" eb="57">
      <t>ニンズウ</t>
    </rPh>
    <phoneticPr fontId="9"/>
  </si>
  <si>
    <t>がんのリハビリテーションに係る業務に携わる専門的な知識および技能を有する理学療法士の人数</t>
    <rPh sb="36" eb="38">
      <t>リガク</t>
    </rPh>
    <rPh sb="38" eb="41">
      <t>リョウホウシ</t>
    </rPh>
    <rPh sb="42" eb="44">
      <t>ニンズウ</t>
    </rPh>
    <phoneticPr fontId="9"/>
  </si>
  <si>
    <t>がんのリハビリテーションに係る業務に携わる専門的な知識および技能を有する作業療法士の人数</t>
    <rPh sb="36" eb="38">
      <t>サギョウ</t>
    </rPh>
    <rPh sb="38" eb="41">
      <t>リョウホウシ</t>
    </rPh>
    <rPh sb="42" eb="44">
      <t>ニンズウ</t>
    </rPh>
    <phoneticPr fontId="9"/>
  </si>
  <si>
    <t>がんのリハビリテーションに係る業務に携わる専門的な知識および技能を有する言語聴覚士の人数</t>
    <rPh sb="36" eb="38">
      <t>ゲンゴ</t>
    </rPh>
    <rPh sb="38" eb="41">
      <t>チョウカクシ</t>
    </rPh>
    <phoneticPr fontId="9"/>
  </si>
  <si>
    <t>（３）</t>
    <phoneticPr fontId="9"/>
  </si>
  <si>
    <t>その他の環境整備等</t>
    <phoneticPr fontId="9"/>
  </si>
  <si>
    <t>患者とその家族が利用可能なインターネット環境を整備している。</t>
  </si>
  <si>
    <t>別紙９に詳細を記載してください。</t>
    <rPh sb="4" eb="6">
      <t>ショウサイ</t>
    </rPh>
    <phoneticPr fontId="9"/>
  </si>
  <si>
    <t>集学的治療等の内容や治療前後の生活における注意点等に関して、冊子や視聴覚教材等を用いてがん患者及びその家族が自主的に確認できる環境を整備している。</t>
    <phoneticPr fontId="9"/>
  </si>
  <si>
    <t>その冊子や視聴覚教材等はオンラインでも確認できる。</t>
    <phoneticPr fontId="9"/>
  </si>
  <si>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</si>
  <si>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9"/>
  </si>
  <si>
    <t>別紙14に詳細を記載してください。</t>
    <rPh sb="0" eb="2">
      <t>ベッシ</t>
    </rPh>
    <rPh sb="5" eb="7">
      <t>ショウサイ</t>
    </rPh>
    <rPh sb="8" eb="10">
      <t>キサイ</t>
    </rPh>
    <phoneticPr fontId="9"/>
  </si>
  <si>
    <t>自施設に精神科、心療内科等がある。</t>
    <phoneticPr fontId="9"/>
  </si>
  <si>
    <t>自施設でがん患者の自殺リスクに対応できる。</t>
    <rPh sb="0" eb="1">
      <t>ジ</t>
    </rPh>
    <rPh sb="1" eb="3">
      <t>シセツ</t>
    </rPh>
    <rPh sb="6" eb="8">
      <t>カンジャ</t>
    </rPh>
    <rPh sb="9" eb="11">
      <t>ジサツ</t>
    </rPh>
    <rPh sb="15" eb="17">
      <t>タイオウ</t>
    </rPh>
    <phoneticPr fontId="9"/>
  </si>
  <si>
    <t>自施設に精神科、心療内科等がない場合は、地域の医療機関と連携体制を確保している。</t>
    <phoneticPr fontId="9"/>
  </si>
  <si>
    <t>診療実績</t>
    <rPh sb="0" eb="2">
      <t>シンリョウ</t>
    </rPh>
    <rPh sb="2" eb="4">
      <t>ジッセキ</t>
    </rPh>
    <phoneticPr fontId="9"/>
  </si>
  <si>
    <t>計上方法：入院、外来は問わない自施設初回治療分。症例区分20および30の数をいう。</t>
    <phoneticPr fontId="9"/>
  </si>
  <si>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9"/>
  </si>
  <si>
    <t>計上方法：患者数については同一入院期間内であれば複数回介入しても1人として計上する。</t>
    <rPh sb="0" eb="2">
      <t>ケイジョウ</t>
    </rPh>
    <rPh sb="2" eb="4">
      <t>ホウホウ</t>
    </rPh>
    <phoneticPr fontId="9"/>
  </si>
  <si>
    <t>当該がん医療圏に居住するがん患者の診療実績の割合（％）</t>
    <rPh sb="17" eb="19">
      <t>シンリョウ</t>
    </rPh>
    <rPh sb="19" eb="21">
      <t>ジッセキ</t>
    </rPh>
    <rPh sb="22" eb="24">
      <t>ワリアイ</t>
    </rPh>
    <phoneticPr fontId="9"/>
  </si>
  <si>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9"/>
  </si>
  <si>
    <t>人材育成等</t>
    <phoneticPr fontId="9"/>
  </si>
  <si>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</si>
  <si>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</si>
  <si>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9"/>
  </si>
  <si>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</si>
  <si>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</si>
  <si>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</si>
  <si>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9"/>
  </si>
  <si>
    <t>うち当該研修会修了者数</t>
  </si>
  <si>
    <t>受講率（％）</t>
    <phoneticPr fontId="9"/>
  </si>
  <si>
    <t>１年以上自施設に所属するがん診療に携わる医師・歯科医師の人数（初期臨床研修医を除く）</t>
    <rPh sb="31" eb="33">
      <t>ショキ</t>
    </rPh>
    <phoneticPr fontId="9"/>
  </si>
  <si>
    <t>医師・歯科医師と協働し、緩和ケアに従事するその他の診療従事者についても受講を促している。</t>
    <phoneticPr fontId="9"/>
  </si>
  <si>
    <t>研修修了者について、患者とその家族に対してわかりやすく情報提供している。</t>
    <rPh sb="29" eb="31">
      <t>テイキョウ</t>
    </rPh>
    <phoneticPr fontId="9"/>
  </si>
  <si>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</si>
  <si>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</si>
  <si>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</si>
  <si>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</si>
  <si>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</si>
  <si>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9"/>
  </si>
  <si>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</si>
  <si>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</si>
  <si>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9"/>
  </si>
  <si>
    <t>（８）</t>
  </si>
  <si>
    <t>医科歯科連携による口腔健康管理を推進するために、歯科医師等を対象とするがん患者の口腔健康管理等の研修の実施に協力している。</t>
  </si>
  <si>
    <t>相談支援及び情報の収集提供</t>
    <phoneticPr fontId="9"/>
  </si>
  <si>
    <t>がん相談支援センター</t>
  </si>
  <si>
    <t>別紙11に詳細を記載してください。</t>
    <rPh sb="0" eb="2">
      <t>ベッシ</t>
    </rPh>
    <rPh sb="5" eb="7">
      <t>ショウサイ</t>
    </rPh>
    <rPh sb="8" eb="10">
      <t>キサイ</t>
    </rPh>
    <phoneticPr fontId="9"/>
  </si>
  <si>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</si>
  <si>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9"/>
  </si>
  <si>
    <t>情報取得や意思疎通に配慮が必要な者に対するマニュアルを作成している</t>
    <phoneticPr fontId="9"/>
  </si>
  <si>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</si>
  <si>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9"/>
  </si>
  <si>
    <t>別紙14に詳細を記載してください。</t>
    <phoneticPr fontId="9"/>
  </si>
  <si>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</si>
  <si>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9"/>
  </si>
  <si>
    <t>別紙13に具体的な取り組みを記載してください。</t>
    <rPh sb="0" eb="2">
      <t>ベッシ</t>
    </rPh>
    <rPh sb="5" eb="8">
      <t>グタイテキ</t>
    </rPh>
    <rPh sb="9" eb="10">
      <t>ト</t>
    </rPh>
    <rPh sb="11" eb="12">
      <t>ク</t>
    </rPh>
    <rPh sb="14" eb="16">
      <t>キサイ</t>
    </rPh>
    <phoneticPr fontId="9"/>
  </si>
  <si>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</si>
  <si>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</si>
  <si>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9"/>
  </si>
  <si>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</si>
  <si>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</si>
  <si>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</si>
  <si>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9"/>
  </si>
  <si>
    <t>オンライン環境でも開催できる。</t>
    <phoneticPr fontId="9"/>
  </si>
  <si>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</si>
  <si>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</si>
  <si>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</si>
  <si>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</si>
  <si>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</si>
  <si>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9"/>
  </si>
  <si>
    <t>小児がんへの治療及び支援を自施設もしくは連携する施設への紹介等で提供できる。</t>
    <phoneticPr fontId="9"/>
  </si>
  <si>
    <t>AYA世代のがんへの治療及び支援を自施設もしくは連携する施設への紹介等で提供できる。</t>
    <rPh sb="3" eb="5">
      <t>セダイ</t>
    </rPh>
    <phoneticPr fontId="9"/>
  </si>
  <si>
    <t>がんゲノム医療への治療及び支援を自施設もしくは連携する施設への紹介等で提供できる。</t>
    <rPh sb="5" eb="7">
      <t>イリョウ</t>
    </rPh>
    <phoneticPr fontId="9"/>
  </si>
  <si>
    <t>大規模災害や感染症の流行などにより自院の診療状況に変化が生じた場合には、速やかに情報公開をするよう努めている。</t>
    <phoneticPr fontId="9"/>
  </si>
  <si>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</si>
  <si>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9"/>
  </si>
  <si>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</si>
  <si>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</si>
  <si>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9"/>
  </si>
  <si>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</si>
  <si>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9"/>
  </si>
  <si>
    <t>臨床研究及び調査研究</t>
    <phoneticPr fontId="9"/>
  </si>
  <si>
    <t>政策的公衆衛生的に必要性の高い調査研究に協力している。</t>
  </si>
  <si>
    <t>治験を含む医薬品等の臨床研究を行う場合は、臨床研究コーディネーター（ＣＲＣ）を配置すること。</t>
    <phoneticPr fontId="9"/>
  </si>
  <si>
    <t>委託も可</t>
    <rPh sb="0" eb="2">
      <t>イタク</t>
    </rPh>
    <rPh sb="3" eb="4">
      <t>カ</t>
    </rPh>
    <phoneticPr fontId="9"/>
  </si>
  <si>
    <t>治験を含む医薬品等の臨床研究を行っている。</t>
  </si>
  <si>
    <t>臨床研究コーディネーターを配置している。</t>
    <rPh sb="0" eb="2">
      <t>リンショウ</t>
    </rPh>
    <rPh sb="2" eb="4">
      <t>ケンキュウ</t>
    </rPh>
    <rPh sb="13" eb="15">
      <t>ハイチ</t>
    </rPh>
    <phoneticPr fontId="9"/>
  </si>
  <si>
    <t>臨床研究コーディネーターとして勤務している者の人数</t>
    <rPh sb="15" eb="17">
      <t>キンム</t>
    </rPh>
    <rPh sb="21" eb="22">
      <t>モノ</t>
    </rPh>
    <rPh sb="23" eb="25">
      <t>ニンズウ</t>
    </rPh>
    <phoneticPr fontId="9"/>
  </si>
  <si>
    <t>治験を除く医薬品等の臨床研究を行う場合は、臨床研究法に則った体制を整備すること。</t>
    <phoneticPr fontId="9"/>
  </si>
  <si>
    <t>治験を除く医薬品等の臨床研究を行っている。</t>
    <phoneticPr fontId="9"/>
  </si>
  <si>
    <t>臨床研究法に則った体制を整備している。</t>
    <phoneticPr fontId="9"/>
  </si>
  <si>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</si>
  <si>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</si>
  <si>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</si>
  <si>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</si>
  <si>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</si>
  <si>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</si>
  <si>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9"/>
  </si>
  <si>
    <t>緩和ケアチームに配置されている、精神症状の緩和に携わる専門的な知識及び技能を有する医師の人数</t>
    <rPh sb="8" eb="10">
      <t>ハイチ</t>
    </rPh>
    <rPh sb="44" eb="46">
      <t>ニンズウ</t>
    </rPh>
    <phoneticPr fontId="9"/>
  </si>
  <si>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9"/>
  </si>
  <si>
    <t>１．がん医療圏と二次医療圏が一致している場合</t>
    <rPh sb="4" eb="7">
      <t>イリョウケン</t>
    </rPh>
    <rPh sb="8" eb="10">
      <t>ニジ</t>
    </rPh>
    <rPh sb="10" eb="13">
      <t>イリョウケン</t>
    </rPh>
    <rPh sb="14" eb="16">
      <t>イッチ</t>
    </rPh>
    <rPh sb="20" eb="22">
      <t>バアイ</t>
    </rPh>
    <phoneticPr fontId="9"/>
  </si>
  <si>
    <t>②'</t>
    <phoneticPr fontId="9"/>
  </si>
  <si>
    <t>②の数値に12をかけたもの（年単位への修正）</t>
    <rPh sb="2" eb="4">
      <t>スウチ</t>
    </rPh>
    <rPh sb="14" eb="17">
      <t>ネンタンイ</t>
    </rPh>
    <rPh sb="19" eb="21">
      <t>シュウセイ</t>
    </rPh>
    <phoneticPr fontId="9"/>
  </si>
  <si>
    <t>A.</t>
    <phoneticPr fontId="9"/>
  </si>
  <si>
    <t>①／②'</t>
    <phoneticPr fontId="9"/>
  </si>
  <si>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8"/>
  </si>
  <si>
    <t>記載の有無：入力済／未入力／不要</t>
    <rPh sb="0" eb="2">
      <t>キサイ</t>
    </rPh>
    <rPh sb="3" eb="5">
      <t>ウム</t>
    </rPh>
    <rPh sb="6" eb="8">
      <t>ニュウリョク</t>
    </rPh>
    <rPh sb="8" eb="9">
      <t>ス</t>
    </rPh>
    <rPh sb="10" eb="13">
      <t>ミニュウリョク</t>
    </rPh>
    <phoneticPr fontId="9"/>
  </si>
  <si>
    <t>病院名：</t>
    <rPh sb="0" eb="2">
      <t>ビョウイン</t>
    </rPh>
    <rPh sb="2" eb="3">
      <t>メイ</t>
    </rPh>
    <phoneticPr fontId="9"/>
  </si>
  <si>
    <t>通し番号</t>
    <rPh sb="0" eb="1">
      <t>トオ</t>
    </rPh>
    <rPh sb="2" eb="4">
      <t>バンゴウ</t>
    </rPh>
    <phoneticPr fontId="9"/>
  </si>
  <si>
    <t>現状の説明</t>
    <rPh sb="0" eb="2">
      <t>ゲンジョウ</t>
    </rPh>
    <rPh sb="3" eb="5">
      <t>セツメイ</t>
    </rPh>
    <phoneticPr fontId="9"/>
  </si>
  <si>
    <t>充足見込み時期</t>
    <rPh sb="0" eb="2">
      <t>ジュウソク</t>
    </rPh>
    <rPh sb="2" eb="4">
      <t>ミコ</t>
    </rPh>
    <rPh sb="5" eb="7">
      <t>ジキ</t>
    </rPh>
    <phoneticPr fontId="9"/>
  </si>
  <si>
    <t>例</t>
    <rPh sb="0" eb="1">
      <t>レイ</t>
    </rPh>
    <phoneticPr fontId="9"/>
  </si>
  <si>
    <t>記載の有無：入力済／未入力</t>
    <rPh sb="0" eb="2">
      <t>キサイ</t>
    </rPh>
    <rPh sb="3" eb="5">
      <t>ウム</t>
    </rPh>
    <rPh sb="6" eb="8">
      <t>ニュウリョク</t>
    </rPh>
    <rPh sb="8" eb="9">
      <t>ス</t>
    </rPh>
    <rPh sb="10" eb="11">
      <t>ミ</t>
    </rPh>
    <rPh sb="11" eb="13">
      <t>ニュウリョク</t>
    </rPh>
    <phoneticPr fontId="9"/>
  </si>
  <si>
    <t>病院名：</t>
    <rPh sb="0" eb="2">
      <t>ビョウイン</t>
    </rPh>
    <rPh sb="2" eb="3">
      <t>メイ</t>
    </rPh>
    <phoneticPr fontId="8"/>
  </si>
  <si>
    <t>注１</t>
    <rPh sb="0" eb="1">
      <t>チュウ</t>
    </rPh>
    <phoneticPr fontId="70"/>
  </si>
  <si>
    <t>専門（◎）＝当該がんを特に専門とする医師がおり、当該がんの患者を積極的に集めている</t>
    <phoneticPr fontId="70"/>
  </si>
  <si>
    <t>対応可（○）＝当該がんの標準的な診断/治療が可能</t>
    <phoneticPr fontId="70"/>
  </si>
  <si>
    <t>他施設へ紹介（△）：他の施設に紹介することで対応している</t>
    <phoneticPr fontId="70"/>
  </si>
  <si>
    <t>注２</t>
    <rPh sb="0" eb="1">
      <t>チュウ</t>
    </rPh>
    <phoneticPr fontId="70"/>
  </si>
  <si>
    <t>臨床試験＝治験であればⅠ～Ⅲ相いずれでもよい。</t>
    <rPh sb="5" eb="7">
      <t>チケン</t>
    </rPh>
    <phoneticPr fontId="70"/>
  </si>
  <si>
    <t>↓記載必須</t>
    <rPh sb="1" eb="3">
      <t>キサイ</t>
    </rPh>
    <rPh sb="3" eb="5">
      <t>ヒッス</t>
    </rPh>
    <phoneticPr fontId="70"/>
  </si>
  <si>
    <t>専門◎／対応可〇／他施設へ紹介△（注１）</t>
    <rPh sb="0" eb="2">
      <t>センモン</t>
    </rPh>
    <rPh sb="4" eb="6">
      <t>タイオウ</t>
    </rPh>
    <rPh sb="6" eb="7">
      <t>カ</t>
    </rPh>
    <rPh sb="9" eb="10">
      <t>タ</t>
    </rPh>
    <rPh sb="10" eb="12">
      <t>シセツ</t>
    </rPh>
    <rPh sb="13" eb="15">
      <t>ショウカイ</t>
    </rPh>
    <rPh sb="17" eb="18">
      <t>チュウ</t>
    </rPh>
    <phoneticPr fontId="70"/>
  </si>
  <si>
    <t>臨床試験（注２）の実績の有無</t>
    <rPh sb="0" eb="2">
      <t>リンショウ</t>
    </rPh>
    <rPh sb="2" eb="4">
      <t>シケン</t>
    </rPh>
    <rPh sb="5" eb="6">
      <t>チュウ</t>
    </rPh>
    <rPh sb="9" eb="11">
      <t>ジッセキ</t>
    </rPh>
    <rPh sb="12" eb="14">
      <t>ウム</t>
    </rPh>
    <phoneticPr fontId="70"/>
  </si>
  <si>
    <t>治療開始数</t>
    <rPh sb="0" eb="2">
      <t>チリョウ</t>
    </rPh>
    <rPh sb="2" eb="4">
      <t>カイシ</t>
    </rPh>
    <rPh sb="4" eb="5">
      <t>スウ</t>
    </rPh>
    <phoneticPr fontId="70"/>
  </si>
  <si>
    <t>担当診療科
（複数記載可）</t>
    <rPh sb="0" eb="2">
      <t>タントウ</t>
    </rPh>
    <rPh sb="9" eb="11">
      <t>キサイ</t>
    </rPh>
    <phoneticPr fontId="70"/>
  </si>
  <si>
    <t>備考</t>
    <rPh sb="0" eb="2">
      <t>ビコウ</t>
    </rPh>
    <phoneticPr fontId="70"/>
  </si>
  <si>
    <t>成人（15歳以上）</t>
    <rPh sb="0" eb="2">
      <t>セイジン</t>
    </rPh>
    <rPh sb="5" eb="6">
      <t>サイ</t>
    </rPh>
    <rPh sb="6" eb="8">
      <t>イジョウ</t>
    </rPh>
    <phoneticPr fontId="70"/>
  </si>
  <si>
    <t>診断
(生検等)</t>
    <rPh sb="0" eb="1">
      <t>コトワ</t>
    </rPh>
    <rPh sb="4" eb="6">
      <t>セイケン</t>
    </rPh>
    <rPh sb="6" eb="7">
      <t>ナド</t>
    </rPh>
    <phoneticPr fontId="70"/>
  </si>
  <si>
    <t>初発例への治療</t>
    <rPh sb="0" eb="2">
      <t>ショハツ</t>
    </rPh>
    <rPh sb="2" eb="3">
      <t>レイ</t>
    </rPh>
    <rPh sb="5" eb="7">
      <t>チリョウ</t>
    </rPh>
    <phoneticPr fontId="9"/>
  </si>
  <si>
    <t>再発例
への治療</t>
    <phoneticPr fontId="9"/>
  </si>
  <si>
    <t>2022年</t>
    <rPh sb="4" eb="5">
      <t>ネン</t>
    </rPh>
    <phoneticPr fontId="70"/>
  </si>
  <si>
    <t>手術</t>
    <rPh sb="0" eb="2">
      <t>シュジュツ</t>
    </rPh>
    <phoneticPr fontId="70"/>
  </si>
  <si>
    <t>放射線</t>
    <rPh sb="0" eb="3">
      <t>ホウシャセン</t>
    </rPh>
    <phoneticPr fontId="70"/>
  </si>
  <si>
    <t>薬物療法</t>
    <rPh sb="0" eb="2">
      <t>ヤクブツ</t>
    </rPh>
    <rPh sb="2" eb="4">
      <t>リョウホウ</t>
    </rPh>
    <phoneticPr fontId="70"/>
  </si>
  <si>
    <t>公開の窓口・特記事項など</t>
    <rPh sb="0" eb="2">
      <t>コウカイ</t>
    </rPh>
    <rPh sb="3" eb="5">
      <t>マドグチ</t>
    </rPh>
    <phoneticPr fontId="70"/>
  </si>
  <si>
    <t>脳腫瘍（リンパ腫以外）</t>
    <rPh sb="0" eb="3">
      <t>ノウシュヨウ</t>
    </rPh>
    <rPh sb="7" eb="8">
      <t>シュ</t>
    </rPh>
    <rPh sb="8" eb="10">
      <t>イガイ</t>
    </rPh>
    <phoneticPr fontId="70"/>
  </si>
  <si>
    <t>（良悪性を別に集計表示）</t>
    <rPh sb="1" eb="4">
      <t>リョウアクセイ</t>
    </rPh>
    <rPh sb="5" eb="6">
      <t>ベツ</t>
    </rPh>
    <rPh sb="7" eb="9">
      <t>シュウケイ</t>
    </rPh>
    <rPh sb="9" eb="11">
      <t>ヒョウジ</t>
    </rPh>
    <phoneticPr fontId="70"/>
  </si>
  <si>
    <t>脳腫瘍（リンパ腫）</t>
    <rPh sb="0" eb="3">
      <t>ノウシュヨウ</t>
    </rPh>
    <phoneticPr fontId="70"/>
  </si>
  <si>
    <t>脊髄腫瘍</t>
    <rPh sb="0" eb="2">
      <t>セキズイ</t>
    </rPh>
    <rPh sb="2" eb="4">
      <t>シュヨウ</t>
    </rPh>
    <phoneticPr fontId="70"/>
  </si>
  <si>
    <t>眼腫瘍（眼瞼以外）</t>
    <rPh sb="0" eb="1">
      <t>ガン</t>
    </rPh>
    <rPh sb="1" eb="3">
      <t>シュヨウ</t>
    </rPh>
    <rPh sb="4" eb="6">
      <t>ガンケン</t>
    </rPh>
    <rPh sb="6" eb="8">
      <t>イガイ</t>
    </rPh>
    <phoneticPr fontId="70"/>
  </si>
  <si>
    <t>鼻腔・副鼻腔がん</t>
    <rPh sb="0" eb="2">
      <t>ビクウ</t>
    </rPh>
    <rPh sb="3" eb="6">
      <t>フクビクウ</t>
    </rPh>
    <phoneticPr fontId="70"/>
  </si>
  <si>
    <t>口腔がん</t>
    <rPh sb="0" eb="2">
      <t>コウクウ</t>
    </rPh>
    <phoneticPr fontId="70"/>
  </si>
  <si>
    <t>咽頭がん（上・中・下）</t>
    <rPh sb="0" eb="2">
      <t>イントウ</t>
    </rPh>
    <phoneticPr fontId="70"/>
  </si>
  <si>
    <t>（上・中・下咽頭を別に集計表示）</t>
    <rPh sb="1" eb="2">
      <t>ジョウ</t>
    </rPh>
    <rPh sb="3" eb="4">
      <t>チュウ</t>
    </rPh>
    <rPh sb="5" eb="6">
      <t>カ</t>
    </rPh>
    <rPh sb="6" eb="8">
      <t>イントウ</t>
    </rPh>
    <rPh sb="9" eb="10">
      <t>ベツ</t>
    </rPh>
    <rPh sb="11" eb="13">
      <t>シュウケイ</t>
    </rPh>
    <rPh sb="13" eb="15">
      <t>ヒョウジ</t>
    </rPh>
    <phoneticPr fontId="70"/>
  </si>
  <si>
    <t>喉頭がん</t>
    <rPh sb="0" eb="2">
      <t>コウトウ</t>
    </rPh>
    <phoneticPr fontId="70"/>
  </si>
  <si>
    <t>唾液腺がん</t>
    <rPh sb="0" eb="3">
      <t>ダエキセン</t>
    </rPh>
    <phoneticPr fontId="70"/>
  </si>
  <si>
    <t>外耳道がん</t>
    <rPh sb="0" eb="3">
      <t>ガイジドウ</t>
    </rPh>
    <phoneticPr fontId="70"/>
  </si>
  <si>
    <t>頭頚部肉腫</t>
    <rPh sb="0" eb="3">
      <t>トウケイブ</t>
    </rPh>
    <rPh sb="3" eb="5">
      <t>ニクシュ</t>
    </rPh>
    <phoneticPr fontId="70"/>
  </si>
  <si>
    <t>甲状腺がん</t>
    <rPh sb="0" eb="3">
      <t>コウジョウセン</t>
    </rPh>
    <phoneticPr fontId="70"/>
  </si>
  <si>
    <t>乳がん</t>
    <rPh sb="0" eb="1">
      <t>ニュウ</t>
    </rPh>
    <phoneticPr fontId="70"/>
  </si>
  <si>
    <t>気管がん</t>
    <rPh sb="0" eb="1">
      <t>キ</t>
    </rPh>
    <rPh sb="1" eb="2">
      <t>カン</t>
    </rPh>
    <phoneticPr fontId="70"/>
  </si>
  <si>
    <t>非小細胞肺がん</t>
    <rPh sb="0" eb="1">
      <t>ヒ</t>
    </rPh>
    <rPh sb="1" eb="4">
      <t>ショウサイボウ</t>
    </rPh>
    <rPh sb="4" eb="5">
      <t>ハイ</t>
    </rPh>
    <phoneticPr fontId="70"/>
  </si>
  <si>
    <t>小細胞肺がん</t>
    <rPh sb="0" eb="3">
      <t>ショウサイボウ</t>
    </rPh>
    <rPh sb="3" eb="4">
      <t>ハイ</t>
    </rPh>
    <phoneticPr fontId="70"/>
  </si>
  <si>
    <t>胸腺がん</t>
    <rPh sb="0" eb="2">
      <t>キョウセン</t>
    </rPh>
    <phoneticPr fontId="70"/>
  </si>
  <si>
    <t>胸腺腫</t>
    <rPh sb="0" eb="3">
      <t>キョウセンシュ</t>
    </rPh>
    <phoneticPr fontId="70"/>
  </si>
  <si>
    <t>縦隔胚細胞腫瘍</t>
    <rPh sb="0" eb="2">
      <t>ジュウカク</t>
    </rPh>
    <rPh sb="2" eb="7">
      <t>ハイサイボウシュヨウ</t>
    </rPh>
    <phoneticPr fontId="70"/>
  </si>
  <si>
    <t>縦隔腫瘍（上記以外の腫瘍）</t>
    <rPh sb="0" eb="2">
      <t>ジュウカク</t>
    </rPh>
    <rPh sb="2" eb="4">
      <t>シュヨウ</t>
    </rPh>
    <rPh sb="5" eb="7">
      <t>ジョウキ</t>
    </rPh>
    <rPh sb="7" eb="9">
      <t>イガイ</t>
    </rPh>
    <rPh sb="10" eb="12">
      <t>シュヨウ</t>
    </rPh>
    <phoneticPr fontId="70"/>
  </si>
  <si>
    <t>中皮腫（胸膜）</t>
    <rPh sb="0" eb="2">
      <t>チュウヒ</t>
    </rPh>
    <rPh sb="2" eb="3">
      <t>シュ</t>
    </rPh>
    <rPh sb="4" eb="6">
      <t>キョウマク</t>
    </rPh>
    <phoneticPr fontId="70"/>
  </si>
  <si>
    <t>中皮腫（腹膜）</t>
    <rPh sb="0" eb="2">
      <t>チュウヒ</t>
    </rPh>
    <rPh sb="4" eb="6">
      <t>フクマク</t>
    </rPh>
    <phoneticPr fontId="70"/>
  </si>
  <si>
    <t>食道がん</t>
  </si>
  <si>
    <t>胃がん</t>
    <rPh sb="0" eb="1">
      <t>イ</t>
    </rPh>
    <phoneticPr fontId="70"/>
  </si>
  <si>
    <t>小腸がん</t>
    <rPh sb="0" eb="2">
      <t>ショウチョウ</t>
    </rPh>
    <phoneticPr fontId="70"/>
  </si>
  <si>
    <t>大腸がん(結腸・直腸）</t>
    <rPh sb="0" eb="2">
      <t>ダイチョウ</t>
    </rPh>
    <rPh sb="5" eb="7">
      <t>ケッチョウ</t>
    </rPh>
    <rPh sb="8" eb="10">
      <t>チョクチョウ</t>
    </rPh>
    <phoneticPr fontId="70"/>
  </si>
  <si>
    <t>肛門・肛門管がん</t>
    <rPh sb="0" eb="2">
      <t>コウモン</t>
    </rPh>
    <rPh sb="3" eb="5">
      <t>コウモン</t>
    </rPh>
    <rPh sb="5" eb="6">
      <t>カン</t>
    </rPh>
    <phoneticPr fontId="70"/>
  </si>
  <si>
    <t>消化管間質性腫瘍（GIST）</t>
    <rPh sb="0" eb="3">
      <t>ショウカカン</t>
    </rPh>
    <rPh sb="3" eb="5">
      <t>カンシツ</t>
    </rPh>
    <rPh sb="5" eb="6">
      <t>セイ</t>
    </rPh>
    <rPh sb="6" eb="8">
      <t>シュヨウ</t>
    </rPh>
    <phoneticPr fontId="70"/>
  </si>
  <si>
    <t>消化管の神経内分泌腫瘍（NET／NEC)</t>
    <rPh sb="0" eb="3">
      <t>ショウカカン</t>
    </rPh>
    <rPh sb="4" eb="6">
      <t>シンケイ</t>
    </rPh>
    <rPh sb="6" eb="9">
      <t>ナイブンピツ</t>
    </rPh>
    <rPh sb="9" eb="11">
      <t>シュヨウ</t>
    </rPh>
    <phoneticPr fontId="70"/>
  </si>
  <si>
    <t>（NET,NECは別に集計表示）</t>
    <rPh sb="9" eb="10">
      <t>ベツ</t>
    </rPh>
    <rPh sb="11" eb="13">
      <t>シュウケイ</t>
    </rPh>
    <rPh sb="13" eb="15">
      <t>ヒョウジ</t>
    </rPh>
    <phoneticPr fontId="70"/>
  </si>
  <si>
    <t>肝臓がん</t>
    <rPh sb="0" eb="2">
      <t>カンゾウ</t>
    </rPh>
    <phoneticPr fontId="70"/>
  </si>
  <si>
    <t>胆のう・胆管がん</t>
    <rPh sb="0" eb="1">
      <t>タン</t>
    </rPh>
    <rPh sb="4" eb="6">
      <t>タンカン</t>
    </rPh>
    <phoneticPr fontId="70"/>
  </si>
  <si>
    <t>（肝内、肝外を別に集計表示）</t>
    <rPh sb="1" eb="3">
      <t>カンナイ</t>
    </rPh>
    <rPh sb="4" eb="6">
      <t>カンガイ</t>
    </rPh>
    <rPh sb="7" eb="8">
      <t>ベツ</t>
    </rPh>
    <rPh sb="9" eb="11">
      <t>シュウケイ</t>
    </rPh>
    <rPh sb="11" eb="13">
      <t>ヒョウジ</t>
    </rPh>
    <phoneticPr fontId="70"/>
  </si>
  <si>
    <t>膵臓がん（NET/NEC以外）</t>
    <rPh sb="0" eb="1">
      <t>スイ</t>
    </rPh>
    <rPh sb="1" eb="2">
      <t>ゾウ</t>
    </rPh>
    <rPh sb="2" eb="3">
      <t>スイゾウ</t>
    </rPh>
    <rPh sb="12" eb="14">
      <t>イガイ</t>
    </rPh>
    <phoneticPr fontId="70"/>
  </si>
  <si>
    <t>膵臓の神経内分泌腫瘍（NET／NEC)</t>
    <rPh sb="0" eb="1">
      <t>スイ</t>
    </rPh>
    <rPh sb="1" eb="2">
      <t>ゾウ</t>
    </rPh>
    <rPh sb="3" eb="5">
      <t>シンケイ</t>
    </rPh>
    <rPh sb="5" eb="8">
      <t>ナイブンピツ</t>
    </rPh>
    <rPh sb="8" eb="10">
      <t>シュヨウ</t>
    </rPh>
    <phoneticPr fontId="70"/>
  </si>
  <si>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70"/>
  </si>
  <si>
    <t>デスモイド腫瘍</t>
    <rPh sb="5" eb="7">
      <t>シュヨウ</t>
    </rPh>
    <phoneticPr fontId="70"/>
  </si>
  <si>
    <t>後腹膜肉腫</t>
    <rPh sb="0" eb="3">
      <t>コウフクマク</t>
    </rPh>
    <rPh sb="3" eb="5">
      <t>ニクシュ</t>
    </rPh>
    <phoneticPr fontId="70"/>
  </si>
  <si>
    <t>腎がん</t>
    <rPh sb="0" eb="1">
      <t>ジン</t>
    </rPh>
    <phoneticPr fontId="70"/>
  </si>
  <si>
    <t>褐色細胞腫・傍神経節腫瘍（頭頸部以外）</t>
    <rPh sb="6" eb="7">
      <t>ボウ</t>
    </rPh>
    <rPh sb="7" eb="9">
      <t>シンケイ</t>
    </rPh>
    <rPh sb="9" eb="10">
      <t>セツ</t>
    </rPh>
    <rPh sb="10" eb="12">
      <t>シュヨウ</t>
    </rPh>
    <rPh sb="13" eb="16">
      <t>トウケイブ</t>
    </rPh>
    <rPh sb="16" eb="18">
      <t>イガイ</t>
    </rPh>
    <phoneticPr fontId="70"/>
  </si>
  <si>
    <t>副腎皮質がん</t>
    <rPh sb="0" eb="1">
      <t>フク</t>
    </rPh>
    <rPh sb="1" eb="2">
      <t>ジン</t>
    </rPh>
    <rPh sb="2" eb="4">
      <t>ヒシツ</t>
    </rPh>
    <phoneticPr fontId="70"/>
  </si>
  <si>
    <t>腎盂尿管がん・膀胱がん</t>
    <rPh sb="0" eb="2">
      <t>ジンウ</t>
    </rPh>
    <rPh sb="2" eb="4">
      <t>ニョウカン</t>
    </rPh>
    <phoneticPr fontId="70"/>
  </si>
  <si>
    <t>（腎盂・尿管・膀胱は別に集計表示）</t>
    <rPh sb="1" eb="3">
      <t>ジンウ</t>
    </rPh>
    <rPh sb="4" eb="6">
      <t>ニョウカン</t>
    </rPh>
    <rPh sb="7" eb="9">
      <t>ボウコウ</t>
    </rPh>
    <rPh sb="10" eb="11">
      <t>ベツ</t>
    </rPh>
    <rPh sb="12" eb="14">
      <t>シュウケイ</t>
    </rPh>
    <rPh sb="14" eb="16">
      <t>ヒョウジ</t>
    </rPh>
    <phoneticPr fontId="70"/>
  </si>
  <si>
    <t>精巣腫瘍</t>
    <rPh sb="0" eb="2">
      <t>セイソウ</t>
    </rPh>
    <rPh sb="2" eb="4">
      <t>シュヨウ</t>
    </rPh>
    <phoneticPr fontId="70"/>
  </si>
  <si>
    <t>前立腺がん</t>
    <rPh sb="0" eb="3">
      <t>ゼンリツセン</t>
    </rPh>
    <phoneticPr fontId="70"/>
  </si>
  <si>
    <t>子宮頸がん（上皮性）</t>
    <rPh sb="0" eb="2">
      <t>シキュウ</t>
    </rPh>
    <rPh sb="2" eb="3">
      <t>ケイ</t>
    </rPh>
    <rPh sb="6" eb="9">
      <t>ジョウヒセイ</t>
    </rPh>
    <phoneticPr fontId="70"/>
  </si>
  <si>
    <t>子宮体がん（上皮性）（子宮がん肉腫を含む）</t>
    <phoneticPr fontId="9"/>
  </si>
  <si>
    <t>子宮肉腫</t>
    <rPh sb="0" eb="2">
      <t>シキュウ</t>
    </rPh>
    <rPh sb="2" eb="4">
      <t>ニクシュ</t>
    </rPh>
    <phoneticPr fontId="70"/>
  </si>
  <si>
    <t>卵巣がん、卵管がん、腹膜がん（上皮性）</t>
    <rPh sb="0" eb="2">
      <t>ランソウ</t>
    </rPh>
    <rPh sb="5" eb="7">
      <t>ランカン</t>
    </rPh>
    <rPh sb="10" eb="12">
      <t>フクマク</t>
    </rPh>
    <rPh sb="15" eb="17">
      <t>ジョウヒ</t>
    </rPh>
    <rPh sb="17" eb="18">
      <t>セイ</t>
    </rPh>
    <phoneticPr fontId="70"/>
  </si>
  <si>
    <t>卵巣悪性胚細胞腫瘍</t>
    <rPh sb="2" eb="4">
      <t>アクセイ</t>
    </rPh>
    <phoneticPr fontId="9"/>
  </si>
  <si>
    <t>外陰がん</t>
    <rPh sb="0" eb="2">
      <t>ガイイン</t>
    </rPh>
    <phoneticPr fontId="70"/>
  </si>
  <si>
    <t>四肢・表在体幹の悪性軟部腫瘍</t>
    <rPh sb="0" eb="2">
      <t>シシ</t>
    </rPh>
    <rPh sb="5" eb="7">
      <t>タイカン</t>
    </rPh>
    <rPh sb="8" eb="10">
      <t>アクセイ</t>
    </rPh>
    <rPh sb="10" eb="12">
      <t>ナンブ</t>
    </rPh>
    <rPh sb="12" eb="14">
      <t>シュヨウ</t>
    </rPh>
    <phoneticPr fontId="70"/>
  </si>
  <si>
    <t>四肢の悪性骨腫瘍</t>
    <rPh sb="3" eb="5">
      <t>アクセイ</t>
    </rPh>
    <rPh sb="5" eb="6">
      <t>コツ</t>
    </rPh>
    <rPh sb="6" eb="8">
      <t>シュヨウ</t>
    </rPh>
    <phoneticPr fontId="70"/>
  </si>
  <si>
    <t>脊椎・骨盤の悪性骨腫瘍</t>
    <rPh sb="0" eb="2">
      <t>セキツイ</t>
    </rPh>
    <rPh sb="3" eb="5">
      <t>コツバン</t>
    </rPh>
    <rPh sb="6" eb="8">
      <t>アクセイ</t>
    </rPh>
    <rPh sb="8" eb="9">
      <t>コツ</t>
    </rPh>
    <rPh sb="9" eb="11">
      <t>シュヨウ</t>
    </rPh>
    <phoneticPr fontId="70"/>
  </si>
  <si>
    <t>皮膚の悪性黒色腫</t>
    <rPh sb="0" eb="2">
      <t>ヒフ</t>
    </rPh>
    <rPh sb="3" eb="5">
      <t>アクセイ</t>
    </rPh>
    <rPh sb="5" eb="8">
      <t>コクショクシュ</t>
    </rPh>
    <phoneticPr fontId="70"/>
  </si>
  <si>
    <t>皮膚がん（悪性黒色腫以外）</t>
    <rPh sb="0" eb="2">
      <t>ヒフ</t>
    </rPh>
    <rPh sb="5" eb="7">
      <t>アクセイ</t>
    </rPh>
    <rPh sb="7" eb="10">
      <t>コクショクシュ</t>
    </rPh>
    <rPh sb="10" eb="12">
      <t>イガイ</t>
    </rPh>
    <phoneticPr fontId="70"/>
  </si>
  <si>
    <t>悪性リンパ腫</t>
    <rPh sb="0" eb="2">
      <t>アクセイ</t>
    </rPh>
    <rPh sb="5" eb="6">
      <t>シュ</t>
    </rPh>
    <phoneticPr fontId="70"/>
  </si>
  <si>
    <t>急性白血病（骨髄性、リンパ性）</t>
    <rPh sb="0" eb="2">
      <t>キュウセイ</t>
    </rPh>
    <rPh sb="2" eb="5">
      <t>ハッケツビョウ</t>
    </rPh>
    <rPh sb="6" eb="9">
      <t>コツズイセイ</t>
    </rPh>
    <rPh sb="13" eb="14">
      <t>セイ</t>
    </rPh>
    <phoneticPr fontId="70"/>
  </si>
  <si>
    <t>慢性白血病（骨髄性、リンパ性）</t>
    <rPh sb="0" eb="2">
      <t>マンセイ</t>
    </rPh>
    <rPh sb="2" eb="5">
      <t>ハッケツビョウ</t>
    </rPh>
    <phoneticPr fontId="70"/>
  </si>
  <si>
    <t>多発性骨髄腫</t>
    <rPh sb="0" eb="3">
      <t>タハツセイ</t>
    </rPh>
    <rPh sb="3" eb="6">
      <t>コツズイシュ</t>
    </rPh>
    <phoneticPr fontId="70"/>
  </si>
  <si>
    <t>原発不明がん</t>
    <rPh sb="0" eb="2">
      <t>ゲンパツ</t>
    </rPh>
    <rPh sb="2" eb="4">
      <t>フメイ</t>
    </rPh>
    <phoneticPr fontId="70"/>
  </si>
  <si>
    <t>専門◎／対応可〇／他施設へ紹介△</t>
    <rPh sb="0" eb="2">
      <t>センモン</t>
    </rPh>
    <rPh sb="4" eb="6">
      <t>タイオウ</t>
    </rPh>
    <rPh sb="6" eb="7">
      <t>カ</t>
    </rPh>
    <rPh sb="9" eb="10">
      <t>タ</t>
    </rPh>
    <rPh sb="10" eb="12">
      <t>シセツ</t>
    </rPh>
    <rPh sb="13" eb="15">
      <t>ショウカイ</t>
    </rPh>
    <phoneticPr fontId="70"/>
  </si>
  <si>
    <t>臨床試験の
実績の有無</t>
    <rPh sb="0" eb="2">
      <t>リンショウ</t>
    </rPh>
    <rPh sb="2" eb="4">
      <t>シケン</t>
    </rPh>
    <rPh sb="6" eb="8">
      <t>ジッセキ</t>
    </rPh>
    <rPh sb="9" eb="11">
      <t>ウム</t>
    </rPh>
    <phoneticPr fontId="70"/>
  </si>
  <si>
    <t>小児（15歳未満）</t>
    <rPh sb="0" eb="2">
      <t>ショウニ</t>
    </rPh>
    <rPh sb="5" eb="8">
      <t>サイミマン</t>
    </rPh>
    <phoneticPr fontId="70"/>
  </si>
  <si>
    <t>小児脳腫瘍</t>
    <rPh sb="0" eb="2">
      <t>ショウニ</t>
    </rPh>
    <rPh sb="2" eb="5">
      <t>ノウシュヨウ</t>
    </rPh>
    <phoneticPr fontId="70"/>
  </si>
  <si>
    <t>小児眼腫瘍</t>
    <rPh sb="0" eb="1">
      <t>ガン</t>
    </rPh>
    <rPh sb="2" eb="3">
      <t>ガン</t>
    </rPh>
    <phoneticPr fontId="70"/>
  </si>
  <si>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</si>
  <si>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</si>
  <si>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</si>
  <si>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9"/>
  </si>
  <si>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9"/>
  </si>
  <si>
    <t>手術療法</t>
    <rPh sb="0" eb="2">
      <t>シュジュツ</t>
    </rPh>
    <rPh sb="2" eb="4">
      <t>リョウホウ</t>
    </rPh>
    <phoneticPr fontId="9"/>
  </si>
  <si>
    <t>薬物療法</t>
    <rPh sb="0" eb="2">
      <t>ヤクブツ</t>
    </rPh>
    <rPh sb="2" eb="4">
      <t>リョウホウ</t>
    </rPh>
    <phoneticPr fontId="9"/>
  </si>
  <si>
    <t>放射線療法</t>
    <rPh sb="0" eb="3">
      <t>ホウシャセン</t>
    </rPh>
    <rPh sb="3" eb="5">
      <t>リョウホウ</t>
    </rPh>
    <phoneticPr fontId="9"/>
  </si>
  <si>
    <t>×</t>
  </si>
  <si>
    <t>○</t>
  </si>
  <si>
    <t>胆のう・胆管がん</t>
    <phoneticPr fontId="9"/>
  </si>
  <si>
    <t>カンファレンスについて</t>
    <phoneticPr fontId="8"/>
  </si>
  <si>
    <t>記載の有無：入力済／未入力</t>
    <phoneticPr fontId="9"/>
  </si>
  <si>
    <t>ⅳのカンファレンスについて、検討している症例・テーマ・参加する職種等について自由記載してください。</t>
    <phoneticPr fontId="9"/>
  </si>
  <si>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9"/>
  </si>
  <si>
    <t>緩和ケア外来の状況</t>
    <rPh sb="0" eb="2">
      <t>カンワ</t>
    </rPh>
    <rPh sb="4" eb="6">
      <t>ガイライ</t>
    </rPh>
    <rPh sb="7" eb="9">
      <t>ジョウキョウ</t>
    </rPh>
    <phoneticPr fontId="8"/>
  </si>
  <si>
    <t>緩和ケア外来が設定されている （はい／いいえ）</t>
    <rPh sb="0" eb="2">
      <t>カンワ</t>
    </rPh>
    <rPh sb="7" eb="9">
      <t>セッテイ</t>
    </rPh>
    <phoneticPr fontId="9"/>
  </si>
  <si>
    <t>緩和ケア外来の名称</t>
  </si>
  <si>
    <t>担当診療科名</t>
    <rPh sb="0" eb="2">
      <t>タントウ</t>
    </rPh>
    <rPh sb="2" eb="4">
      <t>シンリョウ</t>
    </rPh>
    <rPh sb="4" eb="5">
      <t>カ</t>
    </rPh>
    <rPh sb="5" eb="6">
      <t>ナ</t>
    </rPh>
    <phoneticPr fontId="9"/>
  </si>
  <si>
    <t>緩和ケア外来の頻度(〇回/週)</t>
    <rPh sb="0" eb="2">
      <t>カンワ</t>
    </rPh>
    <rPh sb="4" eb="6">
      <t>ガイライ</t>
    </rPh>
    <rPh sb="7" eb="9">
      <t>ヒンド</t>
    </rPh>
    <rPh sb="11" eb="12">
      <t>カイ</t>
    </rPh>
    <rPh sb="13" eb="14">
      <t>シュウ</t>
    </rPh>
    <phoneticPr fontId="9"/>
  </si>
  <si>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9"/>
  </si>
  <si>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9"/>
  </si>
  <si>
    <t>見出し</t>
    <rPh sb="0" eb="2">
      <t>ミダ</t>
    </rPh>
    <phoneticPr fontId="9"/>
  </si>
  <si>
    <t>アド
レス</t>
    <phoneticPr fontId="9"/>
  </si>
  <si>
    <t>他施設でがんの診療を受けている、または、診療を受けていた患者さんを受け入れている （はい／いいえ）</t>
    <rPh sb="0" eb="1">
      <t>タ</t>
    </rPh>
    <rPh sb="1" eb="3">
      <t>シセツ</t>
    </rPh>
    <phoneticPr fontId="9"/>
  </si>
  <si>
    <t>■地域の患者さんやご家族向けの問い合わせ窓口が設定されている （はい／いいえ）</t>
    <rPh sb="23" eb="25">
      <t>セッテイ</t>
    </rPh>
    <phoneticPr fontId="9"/>
  </si>
  <si>
    <t>窓口の名称</t>
    <rPh sb="3" eb="5">
      <t>メイショウ</t>
    </rPh>
    <phoneticPr fontId="9"/>
  </si>
  <si>
    <t>電話番号</t>
    <rPh sb="2" eb="4">
      <t>バンゴウ</t>
    </rPh>
    <phoneticPr fontId="9"/>
  </si>
  <si>
    <t>（内線）</t>
    <rPh sb="1" eb="3">
      <t>ナイセン</t>
    </rPh>
    <phoneticPr fontId="9"/>
  </si>
  <si>
    <t>■地域の医療機関向けの問い合わせ窓口が設定されている （はい／いいえ）</t>
    <rPh sb="1" eb="3">
      <t>チイキ</t>
    </rPh>
    <rPh sb="4" eb="6">
      <t>イリョウ</t>
    </rPh>
    <rPh sb="6" eb="8">
      <t>キカン</t>
    </rPh>
    <rPh sb="19" eb="21">
      <t>セッテイ</t>
    </rPh>
    <phoneticPr fontId="9"/>
  </si>
  <si>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9"/>
  </si>
  <si>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9"/>
  </si>
  <si>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9"/>
  </si>
  <si>
    <t>緩和ケア外来患者の年間受診患者のべ数</t>
    <rPh sb="0" eb="2">
      <t>カンワ</t>
    </rPh>
    <rPh sb="4" eb="6">
      <t>ガイライ</t>
    </rPh>
    <phoneticPr fontId="9"/>
  </si>
  <si>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9"/>
  </si>
  <si>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9"/>
  </si>
  <si>
    <t>地域の医療機関からの年間受診患者のべ数</t>
    <rPh sb="12" eb="14">
      <t>ジュシン</t>
    </rPh>
    <rPh sb="14" eb="16">
      <t>カンジャ</t>
    </rPh>
    <rPh sb="18" eb="19">
      <t>スウ</t>
    </rPh>
    <phoneticPr fontId="9"/>
  </si>
  <si>
    <t>緩和ケア病棟の状況</t>
    <rPh sb="0" eb="2">
      <t>カンワ</t>
    </rPh>
    <rPh sb="7" eb="9">
      <t>ジョウキョウ</t>
    </rPh>
    <phoneticPr fontId="8"/>
  </si>
  <si>
    <t>緩和ケア病棟を有している</t>
    <rPh sb="0" eb="2">
      <t>カンワ</t>
    </rPh>
    <rPh sb="4" eb="6">
      <t>ビョウトウ</t>
    </rPh>
    <rPh sb="7" eb="8">
      <t>ユウ</t>
    </rPh>
    <phoneticPr fontId="9"/>
  </si>
  <si>
    <t>緩和ケア病棟入院料の届出・受理</t>
    <rPh sb="0" eb="2">
      <t>カンワ</t>
    </rPh>
    <rPh sb="4" eb="6">
      <t>ビョウトウ</t>
    </rPh>
    <rPh sb="6" eb="8">
      <t>ニュウイン</t>
    </rPh>
    <rPh sb="8" eb="9">
      <t>リョウ</t>
    </rPh>
    <rPh sb="10" eb="12">
      <t>トドケデ</t>
    </rPh>
    <rPh sb="13" eb="15">
      <t>ジュリ</t>
    </rPh>
    <phoneticPr fontId="9"/>
  </si>
  <si>
    <t>緩和ケア病棟の形式</t>
    <rPh sb="0" eb="2">
      <t>カンワ</t>
    </rPh>
    <phoneticPr fontId="9"/>
  </si>
  <si>
    <t>緩和ケア病棟の病床数</t>
    <rPh sb="0" eb="2">
      <t>カンワ</t>
    </rPh>
    <rPh sb="7" eb="10">
      <t>ビョウショウスウ</t>
    </rPh>
    <phoneticPr fontId="9"/>
  </si>
  <si>
    <t>床</t>
    <rPh sb="0" eb="1">
      <t>トコ</t>
    </rPh>
    <phoneticPr fontId="9"/>
  </si>
  <si>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9"/>
  </si>
  <si>
    <t>日</t>
    <rPh sb="0" eb="1">
      <t>ヒ</t>
    </rPh>
    <phoneticPr fontId="9"/>
  </si>
  <si>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9"/>
  </si>
  <si>
    <t>アドレス</t>
    <phoneticPr fontId="9"/>
  </si>
  <si>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</si>
  <si>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9"/>
  </si>
  <si>
    <t>（例）　　精神保健福祉士</t>
    <rPh sb="1" eb="2">
      <t>レイ</t>
    </rPh>
    <rPh sb="5" eb="7">
      <t>セイシン</t>
    </rPh>
    <rPh sb="7" eb="9">
      <t>ホケン</t>
    </rPh>
    <rPh sb="9" eb="12">
      <t>フクシシ</t>
    </rPh>
    <phoneticPr fontId="9"/>
  </si>
  <si>
    <t>問い合わせ窓口について掲載しているホームページ</t>
    <rPh sb="0" eb="1">
      <t>ト</t>
    </rPh>
    <rPh sb="2" eb="3">
      <t>ア</t>
    </rPh>
    <rPh sb="5" eb="7">
      <t>マドグチ</t>
    </rPh>
    <rPh sb="11" eb="13">
      <t>ケイサイ</t>
    </rPh>
    <phoneticPr fontId="9"/>
  </si>
  <si>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</si>
  <si>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</si>
  <si>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</si>
  <si>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9"/>
  </si>
  <si>
    <t>不要</t>
  </si>
  <si>
    <t>地域緩和ケア連携体制</t>
    <rPh sb="0" eb="2">
      <t>チイキ</t>
    </rPh>
    <rPh sb="2" eb="4">
      <t>カンワ</t>
    </rPh>
    <rPh sb="6" eb="8">
      <t>レンケイ</t>
    </rPh>
    <rPh sb="8" eb="10">
      <t>タイセイ</t>
    </rPh>
    <phoneticPr fontId="8"/>
  </si>
  <si>
    <t>記載の有無：入力済／未入力</t>
    <rPh sb="0" eb="2">
      <t>キサイ</t>
    </rPh>
    <rPh sb="3" eb="5">
      <t>ウム</t>
    </rPh>
    <rPh sb="6" eb="8">
      <t>ニュウリョク</t>
    </rPh>
    <rPh sb="8" eb="9">
      <t>スミ</t>
    </rPh>
    <rPh sb="10" eb="13">
      <t>ミニュウリョク</t>
    </rPh>
    <phoneticPr fontId="9"/>
  </si>
  <si>
    <t>時点：</t>
    <rPh sb="0" eb="2">
      <t>ジテン</t>
    </rPh>
    <phoneticPr fontId="9"/>
  </si>
  <si>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</si>
  <si>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9"/>
  </si>
  <si>
    <t>回</t>
    <rPh sb="0" eb="1">
      <t>カイ</t>
    </rPh>
    <phoneticPr fontId="9"/>
  </si>
  <si>
    <t>地域内の他施設が主催したもの</t>
    <rPh sb="0" eb="2">
      <t>チイキ</t>
    </rPh>
    <rPh sb="2" eb="3">
      <t>ナイ</t>
    </rPh>
    <rPh sb="4" eb="5">
      <t>ホカ</t>
    </rPh>
    <rPh sb="5" eb="7">
      <t>シセツ</t>
    </rPh>
    <rPh sb="8" eb="10">
      <t>シュサイ</t>
    </rPh>
    <phoneticPr fontId="9"/>
  </si>
  <si>
    <t>注１）</t>
    <phoneticPr fontId="9"/>
  </si>
  <si>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</si>
  <si>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9"/>
  </si>
  <si>
    <t>患者の退院支援カンファレンス等、患者個人の情報共有のために開催したカンファレンスは含まない。</t>
    <phoneticPr fontId="9"/>
  </si>
  <si>
    <t>・緊急緩和ケア病床数</t>
    <rPh sb="1" eb="3">
      <t>キンキュウ</t>
    </rPh>
    <rPh sb="3" eb="5">
      <t>カンワ</t>
    </rPh>
    <rPh sb="7" eb="9">
      <t>ビョウショウ</t>
    </rPh>
    <rPh sb="9" eb="10">
      <t>スウ</t>
    </rPh>
    <phoneticPr fontId="9"/>
  </si>
  <si>
    <t>【がんの難治性疼痛に対する神経ブロックについて】</t>
    <rPh sb="10" eb="11">
      <t>タイ</t>
    </rPh>
    <rPh sb="13" eb="15">
      <t>シンケイ</t>
    </rPh>
    <phoneticPr fontId="9"/>
  </si>
  <si>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9"/>
  </si>
  <si>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9"/>
  </si>
  <si>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</si>
  <si>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期間：</t>
    <rPh sb="0" eb="2">
      <t>キカン</t>
    </rPh>
    <phoneticPr fontId="8"/>
  </si>
  <si>
    <t>緩和ケアチームのメンバーについて記載してください。</t>
    <phoneticPr fontId="9"/>
  </si>
  <si>
    <t>医師以外の診療従事者について（複数の資格を有する者は、主たる業務に係る職種についてのみ記載）</t>
    <rPh sb="0" eb="2">
      <t>イシ</t>
    </rPh>
    <rPh sb="2" eb="4">
      <t>イガイ</t>
    </rPh>
    <phoneticPr fontId="54"/>
  </si>
  <si>
    <t>職種</t>
    <rPh sb="0" eb="2">
      <t>ショクシュ</t>
    </rPh>
    <phoneticPr fontId="8"/>
  </si>
  <si>
    <t>常勤
/非常勤</t>
    <rPh sb="0" eb="2">
      <t>ジョウキン</t>
    </rPh>
    <rPh sb="4" eb="7">
      <t>ヒジョウキン</t>
    </rPh>
    <phoneticPr fontId="8"/>
  </si>
  <si>
    <t>専門資格（取得している場合）</t>
    <rPh sb="0" eb="2">
      <t>センモン</t>
    </rPh>
    <rPh sb="2" eb="4">
      <t>シカク</t>
    </rPh>
    <rPh sb="5" eb="7">
      <t>シュトク</t>
    </rPh>
    <rPh sb="11" eb="13">
      <t>バアイ</t>
    </rPh>
    <phoneticPr fontId="8"/>
  </si>
  <si>
    <t>例</t>
    <rPh sb="0" eb="1">
      <t>レイ</t>
    </rPh>
    <phoneticPr fontId="54"/>
  </si>
  <si>
    <t>管理栄養士</t>
    <rPh sb="0" eb="2">
      <t>カンリ</t>
    </rPh>
    <rPh sb="2" eb="5">
      <t>エイヨウシ</t>
    </rPh>
    <phoneticPr fontId="8"/>
  </si>
  <si>
    <t xml:space="preserve">常勤
</t>
    <rPh sb="0" eb="2">
      <t>ジョウキン</t>
    </rPh>
    <phoneticPr fontId="8"/>
  </si>
  <si>
    <t>がん病態栄養専門管理栄養士</t>
    <rPh sb="2" eb="4">
      <t>ビョウタイ</t>
    </rPh>
    <rPh sb="4" eb="6">
      <t>エイヨウ</t>
    </rPh>
    <rPh sb="6" eb="8">
      <t>センモン</t>
    </rPh>
    <rPh sb="8" eb="10">
      <t>カンリ</t>
    </rPh>
    <rPh sb="10" eb="13">
      <t>エイヨウシ</t>
    </rPh>
    <phoneticPr fontId="54"/>
  </si>
  <si>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</si>
  <si>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8"/>
  </si>
  <si>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9"/>
  </si>
  <si>
    <t>（上記が”はい”の場合に回答してください）上記は無料で利用できる。</t>
    <rPh sb="1" eb="3">
      <t>ジョウキ</t>
    </rPh>
    <rPh sb="9" eb="11">
      <t>バアイ</t>
    </rPh>
    <rPh sb="12" eb="14">
      <t>カイトウ</t>
    </rPh>
    <rPh sb="21" eb="23">
      <t>ジョウキ</t>
    </rPh>
    <phoneticPr fontId="9"/>
  </si>
  <si>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9"/>
  </si>
  <si>
    <t>2が”はい”の場合に、参考としたガイドライン名を以下の欄に記入してください。</t>
    <rPh sb="7" eb="9">
      <t>バアイ</t>
    </rPh>
    <rPh sb="24" eb="26">
      <t>イカ</t>
    </rPh>
    <rPh sb="27" eb="28">
      <t>ラン</t>
    </rPh>
    <rPh sb="29" eb="31">
      <t>キニュウ</t>
    </rPh>
    <phoneticPr fontId="9"/>
  </si>
  <si>
    <t>がん患者の特性に応じた支援</t>
    <rPh sb="2" eb="4">
      <t>カンジャ</t>
    </rPh>
    <rPh sb="5" eb="7">
      <t>トクセイ</t>
    </rPh>
    <rPh sb="8" eb="9">
      <t>オウ</t>
    </rPh>
    <rPh sb="11" eb="13">
      <t>シエン</t>
    </rPh>
    <phoneticPr fontId="8"/>
  </si>
  <si>
    <t>自施設でAYA世代のがん患者の支援を行っている</t>
    <rPh sb="0" eb="1">
      <t>ジ</t>
    </rPh>
    <rPh sb="1" eb="3">
      <t>シセツ</t>
    </rPh>
    <rPh sb="7" eb="9">
      <t>セダイ</t>
    </rPh>
    <rPh sb="12" eb="14">
      <t>カンジャ</t>
    </rPh>
    <rPh sb="15" eb="17">
      <t>シエン</t>
    </rPh>
    <rPh sb="18" eb="19">
      <t>オコナ</t>
    </rPh>
    <phoneticPr fontId="9"/>
  </si>
  <si>
    <t>（はい／いいえ）</t>
    <phoneticPr fontId="9"/>
  </si>
  <si>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9"/>
  </si>
  <si>
    <t>（例）</t>
    <rPh sb="1" eb="2">
      <t>レイ</t>
    </rPh>
    <phoneticPr fontId="9"/>
  </si>
  <si>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9"/>
  </si>
  <si>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9"/>
  </si>
  <si>
    <t>多職種からなるAYA支援チームを設置している。</t>
    <rPh sb="0" eb="1">
      <t>タ</t>
    </rPh>
    <rPh sb="1" eb="3">
      <t>ショクシュ</t>
    </rPh>
    <rPh sb="10" eb="12">
      <t>シエン</t>
    </rPh>
    <rPh sb="16" eb="18">
      <t>セッチ</t>
    </rPh>
    <phoneticPr fontId="9"/>
  </si>
  <si>
    <t>「はい」の場合は、AYA支援チーム構成員の職種を記載してください。</t>
    <rPh sb="5" eb="7">
      <t>バアイ</t>
    </rPh>
    <rPh sb="12" eb="14">
      <t>シエン</t>
    </rPh>
    <rPh sb="17" eb="20">
      <t>コウセイイン</t>
    </rPh>
    <rPh sb="21" eb="23">
      <t>ショクシュ</t>
    </rPh>
    <rPh sb="24" eb="26">
      <t>キサイ</t>
    </rPh>
    <phoneticPr fontId="9"/>
  </si>
  <si>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9"/>
  </si>
  <si>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9"/>
  </si>
  <si>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9"/>
  </si>
  <si>
    <t>がん患者の就業に関する支援について自施設もしくは連携施設への紹介で実施している場合に内容を記載してください。</t>
    <rPh sb="5" eb="7">
      <t>シュウギョウ</t>
    </rPh>
    <phoneticPr fontId="9"/>
  </si>
  <si>
    <t>がん患者のアピアランスケアに関する支援について自施設もしくは連携施設への紹介で実施している場合に内容を記載してください。</t>
    <phoneticPr fontId="9"/>
  </si>
  <si>
    <t>高齢のがん患者に関して、高齢者総合機能評価の実施状況や、評価を行う人員の状況などについて記載してください。</t>
    <rPh sb="0" eb="2">
      <t>コウレイ</t>
    </rPh>
    <rPh sb="5" eb="7">
      <t>カンジャ</t>
    </rPh>
    <rPh sb="8" eb="9">
      <t>カン</t>
    </rPh>
    <phoneticPr fontId="9"/>
  </si>
  <si>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9"/>
  </si>
  <si>
    <t>病院名：</t>
    <rPh sb="0" eb="2">
      <t>ビョウイン</t>
    </rPh>
    <rPh sb="2" eb="3">
      <t>ナ</t>
    </rPh>
    <phoneticPr fontId="9"/>
  </si>
  <si>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9"/>
  </si>
  <si>
    <r>
      <t>●年間の</t>
    </r>
    <r>
      <rPr>
        <sz val="11"/>
        <rFont val="ＭＳ Ｐゴシック"/>
        <family val="3"/>
        <charset val="128"/>
      </rPr>
      <t>のべ相談件数</t>
    </r>
    <rPh sb="1" eb="3">
      <t>ネンカン</t>
    </rPh>
    <rPh sb="6" eb="8">
      <t>ソウダン</t>
    </rPh>
    <rPh sb="8" eb="10">
      <t>ケンスウ</t>
    </rPh>
    <phoneticPr fontId="9"/>
  </si>
  <si>
    <t>１．相談件数（新規相談件数に限る）</t>
    <rPh sb="7" eb="9">
      <t>シンキ</t>
    </rPh>
    <rPh sb="9" eb="11">
      <t>ソウダン</t>
    </rPh>
    <rPh sb="11" eb="13">
      <t>ケンスウ</t>
    </rPh>
    <rPh sb="14" eb="15">
      <t>カギ</t>
    </rPh>
    <phoneticPr fontId="9"/>
  </si>
  <si>
    <t>相談者</t>
    <rPh sb="0" eb="2">
      <t>ソウダン</t>
    </rPh>
    <rPh sb="2" eb="3">
      <t>シャ</t>
    </rPh>
    <phoneticPr fontId="9"/>
  </si>
  <si>
    <t>計</t>
    <rPh sb="0" eb="1">
      <t>ケイ</t>
    </rPh>
    <phoneticPr fontId="9"/>
  </si>
  <si>
    <t>自施設の患者・家族</t>
    <rPh sb="0" eb="1">
      <t>ジ</t>
    </rPh>
    <rPh sb="1" eb="3">
      <t>シセツ</t>
    </rPh>
    <rPh sb="4" eb="6">
      <t>カンジャ</t>
    </rPh>
    <rPh sb="7" eb="9">
      <t>カゾク</t>
    </rPh>
    <phoneticPr fontId="9"/>
  </si>
  <si>
    <t>１以外の患者・家族・地域住民等</t>
    <rPh sb="1" eb="3">
      <t>イガイ</t>
    </rPh>
    <rPh sb="4" eb="6">
      <t>カンジャ</t>
    </rPh>
    <rPh sb="7" eb="9">
      <t>カゾク</t>
    </rPh>
    <rPh sb="10" eb="12">
      <t>チイキ</t>
    </rPh>
    <rPh sb="12" eb="14">
      <t>ジュウミン</t>
    </rPh>
    <rPh sb="14" eb="15">
      <t>トウ</t>
    </rPh>
    <phoneticPr fontId="9"/>
  </si>
  <si>
    <t>他の医療機関等の職員</t>
    <rPh sb="0" eb="1">
      <t>タ</t>
    </rPh>
    <rPh sb="2" eb="4">
      <t>イリョウ</t>
    </rPh>
    <rPh sb="4" eb="6">
      <t>キカン</t>
    </rPh>
    <rPh sb="6" eb="7">
      <t>ナド</t>
    </rPh>
    <rPh sb="8" eb="10">
      <t>ショクイン</t>
    </rPh>
    <phoneticPr fontId="9"/>
  </si>
  <si>
    <t>合計</t>
    <rPh sb="0" eb="2">
      <t>ゴウケイ</t>
    </rPh>
    <phoneticPr fontId="9"/>
  </si>
  <si>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9"/>
  </si>
  <si>
    <t>08．臨床試験・先進医療</t>
  </si>
  <si>
    <t>相談内容</t>
    <rPh sb="0" eb="2">
      <t>ソウダン</t>
    </rPh>
    <rPh sb="2" eb="4">
      <t>ナイヨウ</t>
    </rPh>
    <phoneticPr fontId="9"/>
  </si>
  <si>
    <t>件数</t>
    <rPh sb="0" eb="2">
      <t>ケンスウ</t>
    </rPh>
    <phoneticPr fontId="9"/>
  </si>
  <si>
    <t>01.がんの治療</t>
    <rPh sb="6" eb="8">
      <t>チリョウ</t>
    </rPh>
    <phoneticPr fontId="9"/>
  </si>
  <si>
    <t>15.食事・服薬・入浴・運動・外出など</t>
    <rPh sb="3" eb="5">
      <t>ショクジ</t>
    </rPh>
    <rPh sb="6" eb="8">
      <t>フクヤク</t>
    </rPh>
    <rPh sb="9" eb="11">
      <t>ニュウヨク</t>
    </rPh>
    <rPh sb="12" eb="14">
      <t>ウンドウ</t>
    </rPh>
    <rPh sb="15" eb="17">
      <t>ガイシュツ</t>
    </rPh>
    <phoneticPr fontId="9"/>
  </si>
  <si>
    <t>02.がんの検査</t>
    <rPh sb="6" eb="8">
      <t>ケンサ</t>
    </rPh>
    <phoneticPr fontId="9"/>
  </si>
  <si>
    <t>16.介護・看護・養育</t>
    <rPh sb="3" eb="5">
      <t>カイゴ</t>
    </rPh>
    <rPh sb="6" eb="8">
      <t>カンゴ</t>
    </rPh>
    <rPh sb="9" eb="11">
      <t>ヨウイク</t>
    </rPh>
    <phoneticPr fontId="9"/>
  </si>
  <si>
    <t>03.症状・副作用・後遺症</t>
    <rPh sb="3" eb="5">
      <t>ショウジョウ</t>
    </rPh>
    <rPh sb="6" eb="9">
      <t>フクサヨウ</t>
    </rPh>
    <rPh sb="10" eb="13">
      <t>コウイショウ</t>
    </rPh>
    <phoneticPr fontId="9"/>
  </si>
  <si>
    <t>17-1.社会生活（仕事・就労）</t>
    <rPh sb="5" eb="7">
      <t>シャカイ</t>
    </rPh>
    <rPh sb="7" eb="9">
      <t>セイカツ</t>
    </rPh>
    <rPh sb="10" eb="12">
      <t>シゴト</t>
    </rPh>
    <rPh sb="13" eb="15">
      <t>シュウロウ</t>
    </rPh>
    <phoneticPr fontId="9"/>
  </si>
  <si>
    <t>17-2.社会生活（学業）</t>
    <rPh sb="5" eb="7">
      <t>シャカイ</t>
    </rPh>
    <rPh sb="7" eb="9">
      <t>セイカツ</t>
    </rPh>
    <rPh sb="10" eb="12">
      <t>ガクギョウ</t>
    </rPh>
    <phoneticPr fontId="9"/>
  </si>
  <si>
    <t>　03-02.　03のうちアピアランス</t>
    <phoneticPr fontId="9"/>
  </si>
  <si>
    <t>18.医療費・生活費・社会保障制度</t>
    <rPh sb="3" eb="6">
      <t>イリョウヒ</t>
    </rPh>
    <rPh sb="7" eb="10">
      <t>セイカツヒ</t>
    </rPh>
    <rPh sb="11" eb="13">
      <t>シャカイ</t>
    </rPh>
    <rPh sb="13" eb="15">
      <t>ホショウ</t>
    </rPh>
    <rPh sb="15" eb="17">
      <t>セイド</t>
    </rPh>
    <phoneticPr fontId="9"/>
  </si>
  <si>
    <t>　03-03.　03のうち晩期合併症</t>
    <rPh sb="13" eb="15">
      <t>バンキ</t>
    </rPh>
    <rPh sb="15" eb="18">
      <t>ガッペイショウ</t>
    </rPh>
    <phoneticPr fontId="9"/>
  </si>
  <si>
    <t>19.補完・代替医療</t>
    <rPh sb="3" eb="5">
      <t>ホカン</t>
    </rPh>
    <rPh sb="6" eb="8">
      <t>ダイタイ</t>
    </rPh>
    <rPh sb="8" eb="10">
      <t>イリョウ</t>
    </rPh>
    <phoneticPr fontId="9"/>
  </si>
  <si>
    <t>　03-04.　03のうち長期フォローアップ</t>
    <rPh sb="13" eb="15">
      <t>チョウキ</t>
    </rPh>
    <phoneticPr fontId="9"/>
  </si>
  <si>
    <t>20.生きがい・価値観</t>
    <rPh sb="3" eb="4">
      <t>イ</t>
    </rPh>
    <rPh sb="8" eb="11">
      <t>カチカン</t>
    </rPh>
    <phoneticPr fontId="9"/>
  </si>
  <si>
    <t>04.セカンドオピニオン（一般）</t>
    <rPh sb="13" eb="15">
      <t>イッパン</t>
    </rPh>
    <phoneticPr fontId="9"/>
  </si>
  <si>
    <t>21.不安・精神的苦痛</t>
    <rPh sb="3" eb="5">
      <t>フアン</t>
    </rPh>
    <rPh sb="6" eb="9">
      <t>セイシンテキ</t>
    </rPh>
    <rPh sb="9" eb="11">
      <t>クツウ</t>
    </rPh>
    <phoneticPr fontId="9"/>
  </si>
  <si>
    <t>05.セカンドオピニオン（受け入れ）</t>
    <rPh sb="13" eb="14">
      <t>ウ</t>
    </rPh>
    <rPh sb="15" eb="16">
      <t>イ</t>
    </rPh>
    <phoneticPr fontId="9"/>
  </si>
  <si>
    <t>22.告知</t>
    <rPh sb="3" eb="5">
      <t>コクチ</t>
    </rPh>
    <phoneticPr fontId="9"/>
  </si>
  <si>
    <t>06.セカンドオピニオン（他へ紹介）</t>
    <rPh sb="13" eb="14">
      <t>ホカ</t>
    </rPh>
    <rPh sb="15" eb="17">
      <t>ショウカイ</t>
    </rPh>
    <phoneticPr fontId="9"/>
  </si>
  <si>
    <t>23.医療者との関係・コミュニケーション</t>
    <rPh sb="3" eb="6">
      <t>イリョウシャ</t>
    </rPh>
    <rPh sb="8" eb="10">
      <t>カンケイ</t>
    </rPh>
    <phoneticPr fontId="9"/>
  </si>
  <si>
    <t>07.治療実績</t>
    <rPh sb="3" eb="5">
      <t>チリョウ</t>
    </rPh>
    <rPh sb="5" eb="7">
      <t>ジッセキ</t>
    </rPh>
    <phoneticPr fontId="9"/>
  </si>
  <si>
    <t>24.患者-家族間の関係・コミュニケーション</t>
    <rPh sb="3" eb="5">
      <t>カンジャ</t>
    </rPh>
    <rPh sb="6" eb="9">
      <t>カゾクカン</t>
    </rPh>
    <rPh sb="10" eb="12">
      <t>カンケイ</t>
    </rPh>
    <phoneticPr fontId="9"/>
  </si>
  <si>
    <t>08.臨床試験・先進医療</t>
    <rPh sb="3" eb="5">
      <t>リンショウ</t>
    </rPh>
    <rPh sb="5" eb="7">
      <t>シケン</t>
    </rPh>
    <rPh sb="8" eb="10">
      <t>センシン</t>
    </rPh>
    <rPh sb="10" eb="12">
      <t>イリョウ</t>
    </rPh>
    <phoneticPr fontId="9"/>
  </si>
  <si>
    <t>25.友人・知人・職場との関係・コミュニケーション</t>
    <rPh sb="3" eb="5">
      <t>ユウジン</t>
    </rPh>
    <rPh sb="6" eb="8">
      <t>チジン</t>
    </rPh>
    <rPh sb="9" eb="11">
      <t>ショクバ</t>
    </rPh>
    <rPh sb="13" eb="15">
      <t>カンケイ</t>
    </rPh>
    <phoneticPr fontId="9"/>
  </si>
  <si>
    <t>09.受診方法</t>
    <rPh sb="3" eb="5">
      <t>ジュシン</t>
    </rPh>
    <rPh sb="5" eb="7">
      <t>ホウホウ</t>
    </rPh>
    <phoneticPr fontId="9"/>
  </si>
  <si>
    <t>26.患者会・家族会（ピア情報）</t>
    <rPh sb="3" eb="5">
      <t>カンジャ</t>
    </rPh>
    <rPh sb="5" eb="6">
      <t>カイ</t>
    </rPh>
    <rPh sb="7" eb="10">
      <t>カゾクカイ</t>
    </rPh>
    <rPh sb="13" eb="15">
      <t>ジョウホウ</t>
    </rPh>
    <phoneticPr fontId="9"/>
  </si>
  <si>
    <t>10.転院</t>
    <rPh sb="3" eb="5">
      <t>テンイン</t>
    </rPh>
    <phoneticPr fontId="9"/>
  </si>
  <si>
    <t>88.不明</t>
    <rPh sb="3" eb="5">
      <t>フメイ</t>
    </rPh>
    <phoneticPr fontId="9"/>
  </si>
  <si>
    <t>11.医療機関の紹介</t>
    <rPh sb="3" eb="5">
      <t>イリョウ</t>
    </rPh>
    <rPh sb="5" eb="7">
      <t>キカン</t>
    </rPh>
    <rPh sb="8" eb="10">
      <t>ショウカイ</t>
    </rPh>
    <phoneticPr fontId="9"/>
  </si>
  <si>
    <t>99.その他（下段に自由記載してください）</t>
    <rPh sb="5" eb="6">
      <t>タ</t>
    </rPh>
    <rPh sb="7" eb="9">
      <t>カダン</t>
    </rPh>
    <rPh sb="10" eb="12">
      <t>ジユウ</t>
    </rPh>
    <rPh sb="12" eb="14">
      <t>キサイ</t>
    </rPh>
    <phoneticPr fontId="9"/>
  </si>
  <si>
    <t>12.がん予防・検診</t>
    <rPh sb="5" eb="7">
      <t>ヨボウ</t>
    </rPh>
    <rPh sb="8" eb="10">
      <t>ケンシン</t>
    </rPh>
    <phoneticPr fontId="9"/>
  </si>
  <si>
    <t>13.在宅医療</t>
    <rPh sb="3" eb="5">
      <t>ザイタク</t>
    </rPh>
    <rPh sb="5" eb="7">
      <t>イリョウ</t>
    </rPh>
    <phoneticPr fontId="9"/>
  </si>
  <si>
    <t>14.ホスピス・緩和ケア</t>
    <rPh sb="8" eb="10">
      <t>カンワ</t>
    </rPh>
    <phoneticPr fontId="9"/>
  </si>
  <si>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</si>
  <si>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</si>
  <si>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</si>
  <si>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</si>
  <si>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</si>
  <si>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</si>
  <si>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</si>
  <si>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</si>
  <si>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</si>
  <si>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</si>
  <si>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</si>
  <si>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</si>
  <si>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</si>
  <si>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</si>
  <si>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</si>
  <si>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</si>
  <si>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</si>
  <si>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</si>
  <si>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</si>
  <si>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</si>
  <si>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</si>
  <si>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</si>
  <si>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</si>
  <si>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</si>
  <si>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</si>
  <si>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</si>
  <si>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9"/>
  </si>
  <si>
    <t>相談支援センターの名称</t>
    <rPh sb="0" eb="2">
      <t>ソウダン</t>
    </rPh>
    <rPh sb="2" eb="4">
      <t>シエン</t>
    </rPh>
    <rPh sb="9" eb="11">
      <t>メイショウ</t>
    </rPh>
    <phoneticPr fontId="9"/>
  </si>
  <si>
    <t>問い合わせ先電話番号</t>
    <phoneticPr fontId="9"/>
  </si>
  <si>
    <t>■対面相談の実施 （実施/未実施）</t>
    <rPh sb="1" eb="3">
      <t>タイメン</t>
    </rPh>
    <rPh sb="3" eb="5">
      <t>ソウダン</t>
    </rPh>
    <rPh sb="6" eb="8">
      <t>ジッシ</t>
    </rPh>
    <rPh sb="10" eb="12">
      <t>ジッシ</t>
    </rPh>
    <rPh sb="13" eb="16">
      <t>ミジッシ</t>
    </rPh>
    <phoneticPr fontId="9"/>
  </si>
  <si>
    <r>
      <t>予約の要否 （必要</t>
    </r>
    <r>
      <rPr>
        <sz val="11"/>
        <rFont val="ＭＳ Ｐゴシック"/>
        <family val="3"/>
        <charset val="128"/>
      </rPr>
      <t>/不要）</t>
    </r>
    <rPh sb="0" eb="2">
      <t>ヨヤク</t>
    </rPh>
    <rPh sb="3" eb="5">
      <t>ヨウヒ</t>
    </rPh>
    <rPh sb="7" eb="9">
      <t>ヒツヨウ</t>
    </rPh>
    <rPh sb="10" eb="12">
      <t>フヨウ</t>
    </rPh>
    <phoneticPr fontId="9"/>
  </si>
  <si>
    <t>■電話相談の実施 （実施/未実施）</t>
    <rPh sb="1" eb="3">
      <t>デンワ</t>
    </rPh>
    <rPh sb="3" eb="5">
      <t>ソウダン</t>
    </rPh>
    <rPh sb="6" eb="8">
      <t>ジッシ</t>
    </rPh>
    <phoneticPr fontId="9"/>
  </si>
  <si>
    <t>電話番号</t>
    <phoneticPr fontId="9"/>
  </si>
  <si>
    <t>予約の要否 （必要/不要）</t>
    <rPh sb="0" eb="2">
      <t>ヨヤク</t>
    </rPh>
    <rPh sb="3" eb="5">
      <t>ヨウヒ</t>
    </rPh>
    <phoneticPr fontId="9"/>
  </si>
  <si>
    <t>■FAX相談の実施 （実施/未実施）</t>
    <rPh sb="4" eb="6">
      <t>ソウダン</t>
    </rPh>
    <rPh sb="7" eb="9">
      <t>ジッシ</t>
    </rPh>
    <phoneticPr fontId="9"/>
  </si>
  <si>
    <t>FAX番号</t>
    <phoneticPr fontId="9"/>
  </si>
  <si>
    <r>
      <t xml:space="preserve">■電子メール相談の実施 
</t>
    </r>
    <r>
      <rPr>
        <b/>
        <sz val="10"/>
        <rFont val="ＭＳ Ｐゴシック"/>
        <family val="3"/>
        <charset val="128"/>
      </rPr>
      <t>（実施/未実施）</t>
    </r>
    <rPh sb="1" eb="3">
      <t>デンシ</t>
    </rPh>
    <rPh sb="6" eb="8">
      <t>ソウダン</t>
    </rPh>
    <rPh sb="9" eb="11">
      <t>ジッシ</t>
    </rPh>
    <phoneticPr fontId="9"/>
  </si>
  <si>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9"/>
  </si>
  <si>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9"/>
  </si>
  <si>
    <t>がん相談支援センターの体制</t>
    <rPh sb="2" eb="4">
      <t>ソウダン</t>
    </rPh>
    <rPh sb="4" eb="6">
      <t>シエン</t>
    </rPh>
    <rPh sb="11" eb="13">
      <t>タイセイ</t>
    </rPh>
    <phoneticPr fontId="9"/>
  </si>
  <si>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9"/>
  </si>
  <si>
    <t>人数</t>
    <rPh sb="0" eb="2">
      <t>ニンズウ</t>
    </rPh>
    <phoneticPr fontId="9"/>
  </si>
  <si>
    <t>専従/専任/その他</t>
    <rPh sb="0" eb="2">
      <t>センジュウ</t>
    </rPh>
    <rPh sb="3" eb="5">
      <t>センニン</t>
    </rPh>
    <rPh sb="8" eb="9">
      <t>タ</t>
    </rPh>
    <phoneticPr fontId="9"/>
  </si>
  <si>
    <t>うち常勤の
人数</t>
    <rPh sb="2" eb="4">
      <t>ジョウキン</t>
    </rPh>
    <rPh sb="6" eb="8">
      <t>ニンズウ</t>
    </rPh>
    <phoneticPr fontId="9"/>
  </si>
  <si>
    <t>両立支援コーディネーター研修を受講した人数</t>
  </si>
  <si>
    <t>例</t>
    <phoneticPr fontId="9"/>
  </si>
  <si>
    <t>社会福祉士</t>
    <rPh sb="0" eb="2">
      <t>シャカイ</t>
    </rPh>
    <rPh sb="2" eb="5">
      <t>フクシシ</t>
    </rPh>
    <phoneticPr fontId="9"/>
  </si>
  <si>
    <t>専従</t>
    <phoneticPr fontId="9"/>
  </si>
  <si>
    <t>看護師</t>
    <rPh sb="0" eb="3">
      <t>カンゴシ</t>
    </rPh>
    <phoneticPr fontId="9"/>
  </si>
  <si>
    <t>専任</t>
    <phoneticPr fontId="9"/>
  </si>
  <si>
    <t>社会福祉士</t>
  </si>
  <si>
    <t>その他</t>
  </si>
  <si>
    <t>精神保健福祉士</t>
  </si>
  <si>
    <t>看護師</t>
  </si>
  <si>
    <t>■がん患者及びその家族が必ず一度はがん相談支援センターを訪問することができる体制</t>
    <phoneticPr fontId="9"/>
  </si>
  <si>
    <t>印刷範囲外</t>
    <phoneticPr fontId="9"/>
  </si>
  <si>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9"/>
  </si>
  <si>
    <t>　※必ずしも具体的な相談を伴わない、場所等の確認も含む</t>
    <phoneticPr fontId="9"/>
  </si>
  <si>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9"/>
  </si>
  <si>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9"/>
  </si>
  <si>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9"/>
  </si>
  <si>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9"/>
  </si>
  <si>
    <t>●就労に関する連携協力体制</t>
    <rPh sb="1" eb="3">
      <t>シュウロウ</t>
    </rPh>
    <rPh sb="4" eb="5">
      <t>カン</t>
    </rPh>
    <rPh sb="7" eb="9">
      <t>レンケイ</t>
    </rPh>
    <rPh sb="9" eb="11">
      <t>キョウリョク</t>
    </rPh>
    <rPh sb="11" eb="13">
      <t>タイセイ</t>
    </rPh>
    <phoneticPr fontId="9"/>
  </si>
  <si>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</si>
  <si>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9"/>
  </si>
  <si>
    <t>(複数回答可)</t>
    <rPh sb="1" eb="3">
      <t>フクスウ</t>
    </rPh>
    <rPh sb="3" eb="5">
      <t>カイトウ</t>
    </rPh>
    <rPh sb="5" eb="6">
      <t>カ</t>
    </rPh>
    <phoneticPr fontId="9"/>
  </si>
  <si>
    <t>●アピアランスケアに関する連携協力体制</t>
    <rPh sb="10" eb="11">
      <t>カン</t>
    </rPh>
    <rPh sb="13" eb="15">
      <t>レンケイ</t>
    </rPh>
    <rPh sb="15" eb="17">
      <t>キョウリョク</t>
    </rPh>
    <rPh sb="17" eb="19">
      <t>タイセイ</t>
    </rPh>
    <phoneticPr fontId="9"/>
  </si>
  <si>
    <t>　アピアランスに関する相談を院内で対応している</t>
    <rPh sb="8" eb="9">
      <t>カン</t>
    </rPh>
    <rPh sb="11" eb="13">
      <t>ソウダン</t>
    </rPh>
    <rPh sb="14" eb="16">
      <t>インナイ</t>
    </rPh>
    <rPh sb="17" eb="19">
      <t>タイオウ</t>
    </rPh>
    <phoneticPr fontId="9"/>
  </si>
  <si>
    <t>(はい/いいえ)</t>
    <phoneticPr fontId="9"/>
  </si>
  <si>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9"/>
  </si>
  <si>
    <t>（複数回答可）</t>
    <rPh sb="1" eb="3">
      <t>フクスウ</t>
    </rPh>
    <rPh sb="3" eb="5">
      <t>カイトウ</t>
    </rPh>
    <rPh sb="5" eb="6">
      <t>カ</t>
    </rPh>
    <phoneticPr fontId="9"/>
  </si>
  <si>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9"/>
  </si>
  <si>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9"/>
  </si>
  <si>
    <t>　　　①-1意思決定支援に関わる医療従事者による相談を院内で実施している</t>
    <phoneticPr fontId="9"/>
  </si>
  <si>
    <t>　　　①-2意思決定支援に関わる医療従事者による相談を院外に依頼している</t>
    <phoneticPr fontId="9"/>
  </si>
  <si>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9"/>
  </si>
  <si>
    <t>　　　③-1紹介先施設名（複数回答可）</t>
    <phoneticPr fontId="9"/>
  </si>
  <si>
    <t>　④他の自治体のがん・生殖医療ネットワークを通じて、生殖医療を専門とする施設に紹介している</t>
    <phoneticPr fontId="9"/>
  </si>
  <si>
    <t>　　　④-1紹介先施設名（複数回答可）</t>
    <phoneticPr fontId="9"/>
  </si>
  <si>
    <t>　⑤意思決定支援に関わる人材育成を実施している（「いいえ」の場合は⑤-1、⑤-2は「いいえ」を記入ください。）</t>
    <rPh sb="47" eb="49">
      <t>キニュウ</t>
    </rPh>
    <phoneticPr fontId="9"/>
  </si>
  <si>
    <t>　　　⑤-1研修会を院内で実施している</t>
    <phoneticPr fontId="9"/>
  </si>
  <si>
    <t>　　　⑤-2学会等の研修会への参加を励行している</t>
    <phoneticPr fontId="9"/>
  </si>
  <si>
    <t>●がん患者の自殺リスクに対する体制</t>
    <rPh sb="3" eb="5">
      <t>カンジャ</t>
    </rPh>
    <rPh sb="6" eb="8">
      <t>ジサツ</t>
    </rPh>
    <rPh sb="12" eb="13">
      <t>タイ</t>
    </rPh>
    <rPh sb="15" eb="17">
      <t>タイセイ</t>
    </rPh>
    <phoneticPr fontId="9"/>
  </si>
  <si>
    <t>院内で自殺リスクに対する研修を開いている。</t>
    <rPh sb="0" eb="2">
      <t>インナイ</t>
    </rPh>
    <rPh sb="3" eb="5">
      <t>ジサツ</t>
    </rPh>
    <rPh sb="9" eb="10">
      <t>タイ</t>
    </rPh>
    <rPh sb="12" eb="14">
      <t>ケンシュウ</t>
    </rPh>
    <rPh sb="15" eb="16">
      <t>ヒラ</t>
    </rPh>
    <phoneticPr fontId="9"/>
  </si>
  <si>
    <t>●患者サロン等の開催状況</t>
  </si>
  <si>
    <t>　①患者サロンの開催件数</t>
    <rPh sb="2" eb="4">
      <t>カンジャ</t>
    </rPh>
    <rPh sb="8" eb="10">
      <t>カイサイ</t>
    </rPh>
    <rPh sb="10" eb="12">
      <t>ケンスウ</t>
    </rPh>
    <phoneticPr fontId="9"/>
  </si>
  <si>
    <t>　②患者会の開催件数</t>
    <rPh sb="2" eb="4">
      <t>カンジャ</t>
    </rPh>
    <rPh sb="4" eb="5">
      <t>カイ</t>
    </rPh>
    <rPh sb="6" eb="8">
      <t>カイサイ</t>
    </rPh>
    <rPh sb="8" eb="10">
      <t>ケンスウ</t>
    </rPh>
    <phoneticPr fontId="9"/>
  </si>
  <si>
    <t>②-1患者会のうち、オンラインで開催した件数</t>
    <rPh sb="3" eb="5">
      <t>カンジャ</t>
    </rPh>
    <rPh sb="5" eb="6">
      <t>カイ</t>
    </rPh>
    <rPh sb="16" eb="18">
      <t>カイサイ</t>
    </rPh>
    <rPh sb="20" eb="22">
      <t>ケンスウ</t>
    </rPh>
    <phoneticPr fontId="9"/>
  </si>
  <si>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</si>
  <si>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9"/>
  </si>
  <si>
    <t>　①連携協力しているがん患者団体数</t>
  </si>
  <si>
    <t>　②連携協力しているがん患者団体</t>
    <rPh sb="2" eb="4">
      <t>レンケイ</t>
    </rPh>
    <rPh sb="4" eb="6">
      <t>キョウリョク</t>
    </rPh>
    <rPh sb="12" eb="14">
      <t>カンジャ</t>
    </rPh>
    <rPh sb="14" eb="16">
      <t>ダンタイ</t>
    </rPh>
    <phoneticPr fontId="9"/>
  </si>
  <si>
    <t>　　※代表的ながん患者団体のみ記載してください。</t>
    <rPh sb="3" eb="6">
      <t>ダイヒョウテキ</t>
    </rPh>
    <rPh sb="9" eb="11">
      <t>カンジャ</t>
    </rPh>
    <rPh sb="11" eb="13">
      <t>ダンタイ</t>
    </rPh>
    <rPh sb="15" eb="17">
      <t>キサイ</t>
    </rPh>
    <phoneticPr fontId="9"/>
  </si>
  <si>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9"/>
  </si>
  <si>
    <t>　　※「紹介の可否」には、患者さんや家族から、その団体について問い合わせがあった際、具体的な紹介ができるかどうかについて記載してください。</t>
    <phoneticPr fontId="9"/>
  </si>
  <si>
    <t>連携協力しているがん患者団体</t>
    <rPh sb="0" eb="2">
      <t>レンケイ</t>
    </rPh>
    <rPh sb="2" eb="4">
      <t>キョウリョク</t>
    </rPh>
    <rPh sb="10" eb="12">
      <t>カンジャ</t>
    </rPh>
    <rPh sb="12" eb="14">
      <t>ダンタイ</t>
    </rPh>
    <phoneticPr fontId="9"/>
  </si>
  <si>
    <t>具体的な連携協力の内容</t>
    <rPh sb="0" eb="3">
      <t>グタイテキ</t>
    </rPh>
    <rPh sb="4" eb="6">
      <t>レンケイ</t>
    </rPh>
    <rPh sb="6" eb="8">
      <t>キョウリョク</t>
    </rPh>
    <rPh sb="9" eb="11">
      <t>ナイヨウ</t>
    </rPh>
    <phoneticPr fontId="9"/>
  </si>
  <si>
    <t>紹介の可否</t>
    <rPh sb="0" eb="2">
      <t>ショウカイ</t>
    </rPh>
    <rPh sb="3" eb="5">
      <t>カヒ</t>
    </rPh>
    <phoneticPr fontId="9"/>
  </si>
  <si>
    <t>団体名</t>
    <rPh sb="0" eb="3">
      <t>ダンタイメイ</t>
    </rPh>
    <phoneticPr fontId="9"/>
  </si>
  <si>
    <t>参加対象者
の疾患名</t>
    <rPh sb="0" eb="2">
      <t>サンカ</t>
    </rPh>
    <rPh sb="2" eb="5">
      <t>タイショウシャ</t>
    </rPh>
    <rPh sb="7" eb="9">
      <t>シッカン</t>
    </rPh>
    <rPh sb="9" eb="10">
      <t>ナ</t>
    </rPh>
    <phoneticPr fontId="9"/>
  </si>
  <si>
    <t>○○○○○会</t>
    <rPh sb="5" eb="6">
      <t>カイ</t>
    </rPh>
    <phoneticPr fontId="9"/>
  </si>
  <si>
    <t>造血器腫瘍</t>
    <rPh sb="0" eb="3">
      <t>ゾウケツキ</t>
    </rPh>
    <rPh sb="3" eb="5">
      <t>シュヨウ</t>
    </rPh>
    <phoneticPr fontId="9"/>
  </si>
  <si>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9"/>
  </si>
  <si>
    <t>可</t>
    <rPh sb="0" eb="1">
      <t>カ</t>
    </rPh>
    <phoneticPr fontId="9"/>
  </si>
  <si>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9"/>
  </si>
  <si>
    <t>すべてのがん</t>
    <phoneticPr fontId="9"/>
  </si>
  <si>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9"/>
  </si>
  <si>
    <t>不可</t>
    <rPh sb="0" eb="2">
      <t>フカ</t>
    </rPh>
    <phoneticPr fontId="9"/>
  </si>
  <si>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9"/>
  </si>
  <si>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9"/>
  </si>
  <si>
    <t>頭部／頸部</t>
    <rPh sb="3" eb="4">
      <t>クビ</t>
    </rPh>
    <rPh sb="4" eb="5">
      <t>ブ</t>
    </rPh>
    <phoneticPr fontId="9"/>
  </si>
  <si>
    <t>消化管</t>
    <phoneticPr fontId="9"/>
  </si>
  <si>
    <t>泌尿器</t>
    <phoneticPr fontId="9"/>
  </si>
  <si>
    <t>女性</t>
    <phoneticPr fontId="9"/>
  </si>
  <si>
    <t>その他</t>
    <phoneticPr fontId="9"/>
  </si>
  <si>
    <t>脳腫瘍
脊髄腫瘍
眼・眼窩腫瘍
口腔がん
咽頭がん・喉頭がん甲状腺がん</t>
    <phoneticPr fontId="9"/>
  </si>
  <si>
    <t>食道がん
胃がん
小腸がん
大腸がん
GIST</t>
    <phoneticPr fontId="9"/>
  </si>
  <si>
    <t>腎がん
尿路がん
膀胱がん
副腎腫瘍</t>
    <phoneticPr fontId="9"/>
  </si>
  <si>
    <t>子宮頸がん・子宮体がん
卵巣がん
その他の女性生殖器がん</t>
    <phoneticPr fontId="9"/>
  </si>
  <si>
    <t>後腹膜・腹膜腫瘍
性腺外胚細胞腫瘍
原発不明がん</t>
    <rPh sb="0" eb="1">
      <t>ウシロ</t>
    </rPh>
    <rPh sb="1" eb="3">
      <t>フクマク</t>
    </rPh>
    <rPh sb="4" eb="6">
      <t>フクマク</t>
    </rPh>
    <rPh sb="6" eb="8">
      <t>シュヨウ</t>
    </rPh>
    <phoneticPr fontId="9"/>
  </si>
  <si>
    <t>胸部</t>
    <phoneticPr fontId="9"/>
  </si>
  <si>
    <t>肝臓
／胆道
／膵臓</t>
    <phoneticPr fontId="9"/>
  </si>
  <si>
    <t>男性</t>
    <phoneticPr fontId="9"/>
  </si>
  <si>
    <t>皮膚／骨と軟部組織</t>
    <phoneticPr fontId="9"/>
  </si>
  <si>
    <t>小児</t>
    <rPh sb="0" eb="2">
      <t>ショウニ</t>
    </rPh>
    <phoneticPr fontId="9"/>
  </si>
  <si>
    <t>肺がん
乳がん
縦隔腫瘍
中皮腫</t>
    <phoneticPr fontId="9"/>
  </si>
  <si>
    <t>肝がん
胆道がん
膵がん</t>
    <phoneticPr fontId="9"/>
  </si>
  <si>
    <t>前立腺がん
精巣がん
その他の男性生殖器がん</t>
    <phoneticPr fontId="9"/>
  </si>
  <si>
    <t>皮膚腫瘍
悪性骨軟部腫瘍</t>
    <phoneticPr fontId="9"/>
  </si>
  <si>
    <t>小児脳腫瘍
小児の眼・眼窩腫瘍
小児悪性骨軟部腫瘍
その他の小児固形腫瘍
小児造血器腫瘍</t>
    <rPh sb="39" eb="42">
      <t>ゾウケツキ</t>
    </rPh>
    <phoneticPr fontId="9"/>
  </si>
  <si>
    <t>血液・リンパ</t>
    <phoneticPr fontId="9"/>
  </si>
  <si>
    <t>造血器腫瘍</t>
    <rPh sb="0" eb="3">
      <t>ゾウケツキ</t>
    </rPh>
    <phoneticPr fontId="9"/>
  </si>
  <si>
    <t>１．</t>
    <phoneticPr fontId="9"/>
  </si>
  <si>
    <t>【 ストーマ外来 】の問い合わせ窓口</t>
    <rPh sb="11" eb="12">
      <t>ト</t>
    </rPh>
    <rPh sb="13" eb="14">
      <t>ア</t>
    </rPh>
    <rPh sb="16" eb="18">
      <t>マドグチ</t>
    </rPh>
    <phoneticPr fontId="9"/>
  </si>
  <si>
    <t>ストーマ外来が設定されている （はい/いいえ）</t>
    <rPh sb="7" eb="9">
      <t>セッテイ</t>
    </rPh>
    <phoneticPr fontId="9"/>
  </si>
  <si>
    <t>上記外来の名称</t>
    <rPh sb="0" eb="2">
      <t>ジョウキ</t>
    </rPh>
    <rPh sb="2" eb="4">
      <t>ガイライ</t>
    </rPh>
    <rPh sb="5" eb="7">
      <t>メイショウ</t>
    </rPh>
    <phoneticPr fontId="9"/>
  </si>
  <si>
    <t>対象となるストーマの種類</t>
    <rPh sb="10" eb="12">
      <t>シュルイ</t>
    </rPh>
    <phoneticPr fontId="9"/>
  </si>
  <si>
    <t>対象となる疾患名</t>
    <rPh sb="5" eb="7">
      <t>シッカン</t>
    </rPh>
    <rPh sb="7" eb="8">
      <t>ナ</t>
    </rPh>
    <phoneticPr fontId="9"/>
  </si>
  <si>
    <t>他施設でがんの診療を受けている、または、診療を受けていた患者さんを受け入れている （はい/いいえ）</t>
    <rPh sb="0" eb="1">
      <t>タ</t>
    </rPh>
    <rPh sb="1" eb="3">
      <t>シセツ</t>
    </rPh>
    <phoneticPr fontId="9"/>
  </si>
  <si>
    <t>２．</t>
    <phoneticPr fontId="9"/>
  </si>
  <si>
    <t>【 リンパ浮腫外来 】の問い合わせ窓口</t>
    <rPh sb="12" eb="13">
      <t>ト</t>
    </rPh>
    <rPh sb="14" eb="15">
      <t>ア</t>
    </rPh>
    <rPh sb="17" eb="19">
      <t>マドグチ</t>
    </rPh>
    <phoneticPr fontId="9"/>
  </si>
  <si>
    <t>リンパ浮腫外来が設定されている</t>
    <rPh sb="8" eb="10">
      <t>セッテイ</t>
    </rPh>
    <phoneticPr fontId="9"/>
  </si>
  <si>
    <t>（はい/いいえ）</t>
    <phoneticPr fontId="9"/>
  </si>
  <si>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9"/>
  </si>
  <si>
    <t>研修を修了した担当者が配置されている※</t>
    <rPh sb="0" eb="2">
      <t>ケンシュウ</t>
    </rPh>
    <rPh sb="3" eb="5">
      <t>シュウリョウ</t>
    </rPh>
    <rPh sb="7" eb="10">
      <t>タントウシャ</t>
    </rPh>
    <rPh sb="11" eb="13">
      <t>ハイチ</t>
    </rPh>
    <phoneticPr fontId="9"/>
  </si>
  <si>
    <t>対象となる疾患名</t>
    <phoneticPr fontId="9"/>
  </si>
  <si>
    <t>リンパ浮腫の診療担当科</t>
    <phoneticPr fontId="9"/>
  </si>
  <si>
    <t>リンパ浮腫の入院治療に対応している</t>
    <phoneticPr fontId="9"/>
  </si>
  <si>
    <t>（対応している/対応していない）</t>
    <phoneticPr fontId="9"/>
  </si>
  <si>
    <t>他施設でがんの診療を受けている、または診療を受けていた患者さんを受け入れている （はい/いいえ）</t>
    <rPh sb="0" eb="1">
      <t>タ</t>
    </rPh>
    <rPh sb="1" eb="3">
      <t>シセツ</t>
    </rPh>
    <rPh sb="19" eb="21">
      <t>シンリョウ</t>
    </rPh>
    <phoneticPr fontId="9"/>
  </si>
  <si>
    <t>３．</t>
    <phoneticPr fontId="9"/>
  </si>
  <si>
    <t>【 禁煙外来 】の問い合わせ窓口</t>
    <rPh sb="2" eb="4">
      <t>キンエン</t>
    </rPh>
    <rPh sb="4" eb="6">
      <t>ガイライ</t>
    </rPh>
    <rPh sb="9" eb="10">
      <t>ト</t>
    </rPh>
    <rPh sb="11" eb="12">
      <t>ア</t>
    </rPh>
    <rPh sb="14" eb="16">
      <t>マドグチ</t>
    </rPh>
    <phoneticPr fontId="9"/>
  </si>
  <si>
    <t>禁煙外来が設定されている （はい/いいえ）</t>
    <rPh sb="0" eb="2">
      <t>キンエン</t>
    </rPh>
    <rPh sb="5" eb="7">
      <t>セッテイ</t>
    </rPh>
    <phoneticPr fontId="9"/>
  </si>
  <si>
    <t>４．</t>
    <phoneticPr fontId="9"/>
  </si>
  <si>
    <t>【 アスベスト外来 】の問い合わせ窓口</t>
    <rPh sb="7" eb="9">
      <t>ガイライ</t>
    </rPh>
    <rPh sb="12" eb="13">
      <t>ト</t>
    </rPh>
    <rPh sb="14" eb="15">
      <t>ア</t>
    </rPh>
    <rPh sb="17" eb="19">
      <t>マドグチ</t>
    </rPh>
    <phoneticPr fontId="9"/>
  </si>
  <si>
    <t>アスベスト外来が設定されている （はい/いいえ）</t>
    <rPh sb="8" eb="10">
      <t>セッテイ</t>
    </rPh>
    <phoneticPr fontId="9"/>
  </si>
  <si>
    <t>５．</t>
    <phoneticPr fontId="9"/>
  </si>
  <si>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9"/>
  </si>
  <si>
    <t>遺伝性腫瘍外来が設定されている （はい/いいえ）</t>
    <rPh sb="0" eb="3">
      <t>イデンセイ</t>
    </rPh>
    <rPh sb="3" eb="5">
      <t>シュヨウ</t>
    </rPh>
    <rPh sb="5" eb="7">
      <t>ガイライ</t>
    </rPh>
    <rPh sb="8" eb="10">
      <t>セッテイ</t>
    </rPh>
    <phoneticPr fontId="9"/>
  </si>
  <si>
    <t>６．</t>
    <phoneticPr fontId="9"/>
  </si>
  <si>
    <t>追加で記載を希望する外来について</t>
    <rPh sb="0" eb="2">
      <t>ツイカ</t>
    </rPh>
    <rPh sb="3" eb="5">
      <t>キサイ</t>
    </rPh>
    <rPh sb="6" eb="8">
      <t>キボウ</t>
    </rPh>
    <rPh sb="10" eb="12">
      <t>ガイライ</t>
    </rPh>
    <phoneticPr fontId="9"/>
  </si>
  <si>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9"/>
  </si>
  <si>
    <t>院内がん登録部門の体制</t>
    <rPh sb="0" eb="2">
      <t>インナイ</t>
    </rPh>
    <rPh sb="4" eb="6">
      <t>トウロク</t>
    </rPh>
    <rPh sb="6" eb="8">
      <t>ブモン</t>
    </rPh>
    <rPh sb="9" eb="11">
      <t>タイセイ</t>
    </rPh>
    <phoneticPr fontId="9"/>
  </si>
  <si>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</si>
  <si>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9"/>
  </si>
  <si>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</si>
  <si>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9"/>
  </si>
  <si>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9"/>
  </si>
  <si>
    <t>院内がん
登録業務の
経験年数
（年）</t>
    <rPh sb="0" eb="2">
      <t>インナイ</t>
    </rPh>
    <rPh sb="5" eb="7">
      <t>トウロク</t>
    </rPh>
    <rPh sb="7" eb="9">
      <t>ギョウム</t>
    </rPh>
    <rPh sb="11" eb="13">
      <t>ケイケン</t>
    </rPh>
    <rPh sb="13" eb="15">
      <t>ネンスウ</t>
    </rPh>
    <rPh sb="17" eb="18">
      <t>ネン</t>
    </rPh>
    <phoneticPr fontId="9"/>
  </si>
  <si>
    <t>常勤
/非常勤</t>
    <rPh sb="0" eb="2">
      <t>ジョウキン</t>
    </rPh>
    <rPh sb="4" eb="7">
      <t>ヒジョウキン</t>
    </rPh>
    <phoneticPr fontId="9"/>
  </si>
  <si>
    <t>院内がん登録業務
についての
専従/専任/その他</t>
    <rPh sb="0" eb="2">
      <t>インナイ</t>
    </rPh>
    <rPh sb="4" eb="6">
      <t>トウロク</t>
    </rPh>
    <rPh sb="6" eb="8">
      <t>ギョウム</t>
    </rPh>
    <rPh sb="15" eb="17">
      <t>センジュウ</t>
    </rPh>
    <rPh sb="18" eb="20">
      <t>センニン</t>
    </rPh>
    <rPh sb="23" eb="24">
      <t>タ</t>
    </rPh>
    <phoneticPr fontId="9"/>
  </si>
  <si>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9"/>
  </si>
  <si>
    <t>研修会名・受講状況</t>
    <rPh sb="0" eb="2">
      <t>ケンシュウ</t>
    </rPh>
    <rPh sb="2" eb="3">
      <t>カイ</t>
    </rPh>
    <rPh sb="3" eb="4">
      <t>メイ</t>
    </rPh>
    <rPh sb="5" eb="7">
      <t>ジュコウ</t>
    </rPh>
    <rPh sb="7" eb="9">
      <t>ジョウキョウ</t>
    </rPh>
    <phoneticPr fontId="9"/>
  </si>
  <si>
    <t>診療情報管理士</t>
  </si>
  <si>
    <t>専従(8割以上)</t>
    <rPh sb="0" eb="2">
      <t>センジュウ</t>
    </rPh>
    <rPh sb="4" eb="7">
      <t>ワリイジョウ</t>
    </rPh>
    <phoneticPr fontId="9"/>
  </si>
  <si>
    <t>初級認定者（みなし含む）</t>
    <phoneticPr fontId="9"/>
  </si>
  <si>
    <t>なし</t>
  </si>
  <si>
    <t>非常勤</t>
    <rPh sb="0" eb="1">
      <t>ヒ</t>
    </rPh>
    <rPh sb="1" eb="3">
      <t>ジョウキン</t>
    </rPh>
    <phoneticPr fontId="9"/>
  </si>
  <si>
    <t>専任(5割以上8割未満)</t>
    <rPh sb="0" eb="2">
      <t>センニン</t>
    </rPh>
    <rPh sb="4" eb="7">
      <t>ワリイジョウ</t>
    </rPh>
    <rPh sb="8" eb="9">
      <t>ワリ</t>
    </rPh>
    <rPh sb="9" eb="11">
      <t>ミマン</t>
    </rPh>
    <phoneticPr fontId="9"/>
  </si>
  <si>
    <t>初級認定試験・受験なし</t>
    <phoneticPr fontId="9"/>
  </si>
  <si>
    <t>臨床試験・治験の実施状況および問い合わせ窓口</t>
    <rPh sb="8" eb="10">
      <t>ジッシ</t>
    </rPh>
    <rPh sb="10" eb="12">
      <t>ジョウキョウ</t>
    </rPh>
    <rPh sb="15" eb="16">
      <t>ト</t>
    </rPh>
    <rPh sb="17" eb="18">
      <t>ア</t>
    </rPh>
    <rPh sb="20" eb="22">
      <t>マドグチ</t>
    </rPh>
    <phoneticPr fontId="9"/>
  </si>
  <si>
    <t>臨床試験・治験の問い合わせ窓口</t>
    <rPh sb="0" eb="2">
      <t>リンショウ</t>
    </rPh>
    <rPh sb="2" eb="4">
      <t>シケン</t>
    </rPh>
    <rPh sb="5" eb="7">
      <t>チケン</t>
    </rPh>
    <rPh sb="8" eb="9">
      <t>ト</t>
    </rPh>
    <rPh sb="10" eb="11">
      <t>ア</t>
    </rPh>
    <rPh sb="13" eb="15">
      <t>マドグチ</t>
    </rPh>
    <phoneticPr fontId="9"/>
  </si>
  <si>
    <t>1）</t>
    <phoneticPr fontId="9"/>
  </si>
  <si>
    <t>【 臨床試験（治験を除く） 】の問い合わせ窓口</t>
    <rPh sb="2" eb="4">
      <t>リンショウ</t>
    </rPh>
    <rPh sb="4" eb="6">
      <t>シケン</t>
    </rPh>
    <rPh sb="7" eb="9">
      <t>チケン</t>
    </rPh>
    <rPh sb="10" eb="11">
      <t>ノゾ</t>
    </rPh>
    <rPh sb="16" eb="17">
      <t>ト</t>
    </rPh>
    <rPh sb="18" eb="19">
      <t>ア</t>
    </rPh>
    <rPh sb="21" eb="23">
      <t>マドグチ</t>
    </rPh>
    <phoneticPr fontId="9"/>
  </si>
  <si>
    <t>■臨床試験に参加していない地域の患者さんやご家族向けの問い合わせ窓口の有無について</t>
    <rPh sb="1" eb="3">
      <t>リンショウ</t>
    </rPh>
    <rPh sb="3" eb="5">
      <t>シケン</t>
    </rPh>
    <rPh sb="6" eb="8">
      <t>サンカ</t>
    </rPh>
    <rPh sb="35" eb="37">
      <t>ウム</t>
    </rPh>
    <phoneticPr fontId="9"/>
  </si>
  <si>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9"/>
  </si>
  <si>
    <t>問い合わせへ対応している方法に○をつけてください。</t>
    <phoneticPr fontId="9"/>
  </si>
  <si>
    <t>窓口</t>
    <rPh sb="0" eb="2">
      <t>マドグチ</t>
    </rPh>
    <phoneticPr fontId="9"/>
  </si>
  <si>
    <t>電話</t>
    <rPh sb="0" eb="2">
      <t>デンワ</t>
    </rPh>
    <phoneticPr fontId="9"/>
  </si>
  <si>
    <t>FAX</t>
    <phoneticPr fontId="9"/>
  </si>
  <si>
    <t>電子メール</t>
    <rPh sb="0" eb="2">
      <t>デンシ</t>
    </rPh>
    <phoneticPr fontId="9"/>
  </si>
  <si>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9"/>
  </si>
  <si>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9"/>
  </si>
  <si>
    <t>2）</t>
    <phoneticPr fontId="9"/>
  </si>
  <si>
    <t>【 治験 】の問い合わせ窓口</t>
    <rPh sb="2" eb="4">
      <t>チケン</t>
    </rPh>
    <rPh sb="7" eb="8">
      <t>ト</t>
    </rPh>
    <rPh sb="9" eb="10">
      <t>ア</t>
    </rPh>
    <rPh sb="12" eb="14">
      <t>マドグチ</t>
    </rPh>
    <phoneticPr fontId="9"/>
  </si>
  <si>
    <t>■治験に参加していない地域の患者さんやご家族向けの問い合わせ窓口について</t>
    <rPh sb="1" eb="3">
      <t>チケン</t>
    </rPh>
    <rPh sb="4" eb="6">
      <t>サンカ</t>
    </rPh>
    <phoneticPr fontId="9"/>
  </si>
  <si>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9"/>
  </si>
  <si>
    <t>■治験に参加していない地域の医療機関向けの問い合わせ窓口について</t>
    <rPh sb="11" eb="13">
      <t>チイキ</t>
    </rPh>
    <rPh sb="14" eb="16">
      <t>イリョウ</t>
    </rPh>
    <rPh sb="16" eb="18">
      <t>キカン</t>
    </rPh>
    <phoneticPr fontId="9"/>
  </si>
  <si>
    <t>院内のチーム医療の提供体制</t>
    <rPh sb="0" eb="2">
      <t>インナイ</t>
    </rPh>
    <rPh sb="6" eb="8">
      <t>イリョウ</t>
    </rPh>
    <rPh sb="9" eb="11">
      <t>テイキョウ</t>
    </rPh>
    <rPh sb="11" eb="13">
      <t>タイセイ</t>
    </rPh>
    <phoneticPr fontId="8"/>
  </si>
  <si>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9"/>
  </si>
  <si>
    <t>院内に口腔ケアチームが設置されている。
（周術期等口腔機能管理に関する項目が算定できる体制であること。）</t>
    <rPh sb="0" eb="2">
      <t>インナイ</t>
    </rPh>
    <rPh sb="3" eb="5">
      <t>コウクウ</t>
    </rPh>
    <rPh sb="11" eb="13">
      <t>セッチ</t>
    </rPh>
    <phoneticPr fontId="9"/>
  </si>
  <si>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9"/>
  </si>
  <si>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9"/>
  </si>
  <si>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9"/>
  </si>
  <si>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9"/>
  </si>
  <si>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9"/>
  </si>
  <si>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9"/>
  </si>
  <si>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</si>
  <si>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</si>
  <si>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9"/>
  </si>
  <si>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9"/>
  </si>
  <si>
    <t>注1）研修医は除いてください。</t>
    <phoneticPr fontId="9"/>
  </si>
  <si>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9"/>
  </si>
  <si>
    <t>注3）「専従」および「専任」とは、当該医療機関における当該診療従事者が「専従」については「8割以上」、「専任」については「5割以上」、当該業務に従事している者をいいます。</t>
    <phoneticPr fontId="9"/>
  </si>
  <si>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9"/>
  </si>
  <si>
    <t>職種</t>
    <rPh sb="0" eb="2">
      <t>ショクシュ</t>
    </rPh>
    <phoneticPr fontId="9"/>
  </si>
  <si>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9"/>
  </si>
  <si>
    <t>受講した研修名</t>
    <rPh sb="0" eb="2">
      <t>ジュコウ</t>
    </rPh>
    <rPh sb="4" eb="6">
      <t>ケンシュウ</t>
    </rPh>
    <rPh sb="6" eb="7">
      <t>メイ</t>
    </rPh>
    <phoneticPr fontId="9"/>
  </si>
  <si>
    <t>研修主催者名</t>
    <rPh sb="0" eb="2">
      <t>ケンシュウ</t>
    </rPh>
    <rPh sb="2" eb="5">
      <t>シュサイシャ</t>
    </rPh>
    <rPh sb="5" eb="6">
      <t>メイ</t>
    </rPh>
    <phoneticPr fontId="9"/>
  </si>
  <si>
    <t>修了日</t>
    <rPh sb="0" eb="2">
      <t>シュウリョウ</t>
    </rPh>
    <rPh sb="2" eb="3">
      <t>ビ</t>
    </rPh>
    <phoneticPr fontId="9"/>
  </si>
  <si>
    <t>部門長</t>
    <rPh sb="0" eb="3">
      <t>ブモンチョウ</t>
    </rPh>
    <phoneticPr fontId="9"/>
  </si>
  <si>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9"/>
  </si>
  <si>
    <t>活用した第三者評価</t>
    <rPh sb="0" eb="2">
      <t>カツヨウ</t>
    </rPh>
    <rPh sb="4" eb="7">
      <t>ダイサンシャ</t>
    </rPh>
    <rPh sb="7" eb="9">
      <t>ヒョウカ</t>
    </rPh>
    <phoneticPr fontId="9"/>
  </si>
  <si>
    <t>最終評価日</t>
    <rPh sb="0" eb="2">
      <t>サイシュウ</t>
    </rPh>
    <rPh sb="2" eb="4">
      <t>ヒョウカ</t>
    </rPh>
    <rPh sb="4" eb="5">
      <t>ビ</t>
    </rPh>
    <phoneticPr fontId="9"/>
  </si>
  <si>
    <t>有効期間
（定められている場合のみ記載）</t>
    <rPh sb="0" eb="2">
      <t>ユウコウ</t>
    </rPh>
    <rPh sb="2" eb="4">
      <t>キカン</t>
    </rPh>
    <rPh sb="6" eb="7">
      <t>サダ</t>
    </rPh>
    <rPh sb="13" eb="15">
      <t>バアイ</t>
    </rPh>
    <rPh sb="17" eb="19">
      <t>キサイ</t>
    </rPh>
    <phoneticPr fontId="9"/>
  </si>
  <si>
    <t>JCI</t>
    <phoneticPr fontId="9"/>
  </si>
  <si>
    <t>平成31年○月○○日</t>
    <rPh sb="0" eb="2">
      <t>ヘイセイ</t>
    </rPh>
    <rPh sb="4" eb="5">
      <t>ネン</t>
    </rPh>
    <rPh sb="5" eb="6">
      <t>ヘイネン</t>
    </rPh>
    <rPh sb="6" eb="7">
      <t>ガツ</t>
    </rPh>
    <rPh sb="9" eb="10">
      <t>ニチ</t>
    </rPh>
    <phoneticPr fontId="9"/>
  </si>
  <si>
    <t>令和６年○月○○日</t>
    <rPh sb="0" eb="2">
      <t>レイワ</t>
    </rPh>
    <rPh sb="3" eb="4">
      <t>ネン</t>
    </rPh>
    <rPh sb="4" eb="5">
      <t>ヘイネン</t>
    </rPh>
    <rPh sb="5" eb="6">
      <t>ガツ</t>
    </rPh>
    <rPh sb="8" eb="9">
      <t>ニチ</t>
    </rPh>
    <phoneticPr fontId="9"/>
  </si>
  <si>
    <t>ISO9001</t>
    <phoneticPr fontId="9"/>
  </si>
  <si>
    <t>令和２年○月○○日</t>
    <rPh sb="0" eb="2">
      <t>レイワ</t>
    </rPh>
    <rPh sb="3" eb="4">
      <t>ネン</t>
    </rPh>
    <rPh sb="4" eb="5">
      <t>ヘイネン</t>
    </rPh>
    <rPh sb="5" eb="6">
      <t>ガツ</t>
    </rPh>
    <rPh sb="8" eb="9">
      <t>ニチ</t>
    </rPh>
    <phoneticPr fontId="9"/>
  </si>
  <si>
    <t>令和７年○月○○日</t>
    <rPh sb="0" eb="2">
      <t>レイワ</t>
    </rPh>
    <rPh sb="3" eb="4">
      <t>ネン</t>
    </rPh>
    <rPh sb="4" eb="5">
      <t>ヘイネン</t>
    </rPh>
    <rPh sb="5" eb="6">
      <t>ガツ</t>
    </rPh>
    <rPh sb="8" eb="9">
      <t>ニチ</t>
    </rPh>
    <phoneticPr fontId="9"/>
  </si>
  <si>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9"/>
  </si>
  <si>
    <t>平成30年○月○○日</t>
    <rPh sb="0" eb="2">
      <t>ヘイセイ</t>
    </rPh>
    <rPh sb="4" eb="5">
      <t>ネン</t>
    </rPh>
    <rPh sb="5" eb="6">
      <t>ヘイネン</t>
    </rPh>
    <rPh sb="6" eb="7">
      <t>ガツ</t>
    </rPh>
    <rPh sb="9" eb="10">
      <t>ニチ</t>
    </rPh>
    <phoneticPr fontId="9"/>
  </si>
  <si>
    <t>人数</t>
    <rPh sb="0" eb="2">
      <t>ニンズウ</t>
    </rPh>
    <phoneticPr fontId="54"/>
  </si>
  <si>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</si>
  <si>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9"/>
  </si>
  <si>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9"/>
  </si>
  <si>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9"/>
  </si>
  <si>
    <t>１．院内の口腔ケアチームのメンバーの職種及び人数について</t>
    <rPh sb="2" eb="4">
      <t>インナイ</t>
    </rPh>
    <rPh sb="5" eb="7">
      <t>コウクウ</t>
    </rPh>
    <rPh sb="18" eb="20">
      <t>ショクシュ</t>
    </rPh>
    <rPh sb="20" eb="21">
      <t>オヨ</t>
    </rPh>
    <rPh sb="22" eb="24">
      <t>ニンズウ</t>
    </rPh>
    <phoneticPr fontId="9"/>
  </si>
  <si>
    <t>院内に口腔ケアチームを設置している場合、記入すること。</t>
    <phoneticPr fontId="9"/>
  </si>
  <si>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9"/>
  </si>
  <si>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8"/>
  </si>
  <si>
    <t>歯科医師</t>
    <rPh sb="0" eb="4">
      <t>シカイシ</t>
    </rPh>
    <phoneticPr fontId="9"/>
  </si>
  <si>
    <t>近隣の歯科医師と個別に連携</t>
    <phoneticPr fontId="9"/>
  </si>
  <si>
    <t>２．歯科との連携体制の有無について</t>
    <rPh sb="2" eb="4">
      <t>シカ</t>
    </rPh>
    <rPh sb="6" eb="8">
      <t>レンケイ</t>
    </rPh>
    <rPh sb="8" eb="10">
      <t>タイセイ</t>
    </rPh>
    <rPh sb="11" eb="13">
      <t>ウム</t>
    </rPh>
    <phoneticPr fontId="9"/>
  </si>
  <si>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9"/>
  </si>
  <si>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9"/>
  </si>
  <si>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9"/>
  </si>
  <si>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9"/>
  </si>
  <si>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9"/>
  </si>
  <si>
    <t>（６）　上記（２）～（５）において地域の歯科医師と連携体制を構築している場合、連携している地域（院外）の歯科医療機関数</t>
    <rPh sb="17" eb="19">
      <t>チイキ</t>
    </rPh>
    <rPh sb="22" eb="24">
      <t>イシ</t>
    </rPh>
    <rPh sb="45" eb="47">
      <t>チイキ</t>
    </rPh>
    <phoneticPr fontId="9"/>
  </si>
  <si>
    <t>施設</t>
    <rPh sb="0" eb="2">
      <t>シセツ</t>
    </rPh>
    <phoneticPr fontId="9"/>
  </si>
  <si>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9"/>
  </si>
  <si>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9"/>
  </si>
  <si>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9"/>
  </si>
  <si>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9"/>
  </si>
  <si>
    <t>表紙</t>
    <phoneticPr fontId="9"/>
  </si>
  <si>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9"/>
  </si>
  <si>
    <t>※指定更新・現況報告の場合記載</t>
    <rPh sb="1" eb="3">
      <t>シテイ</t>
    </rPh>
    <rPh sb="3" eb="5">
      <t>コウシン</t>
    </rPh>
    <rPh sb="6" eb="8">
      <t>ゲンキョウ</t>
    </rPh>
    <rPh sb="8" eb="10">
      <t>ホウコク</t>
    </rPh>
    <rPh sb="11" eb="13">
      <t>バアイ</t>
    </rPh>
    <rPh sb="13" eb="15">
      <t>キサイ</t>
    </rPh>
    <phoneticPr fontId="9"/>
  </si>
  <si>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</si>
  <si>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</si>
  <si>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</si>
  <si>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9"/>
  </si>
  <si>
    <t>自施設で放射線治療を実施している。</t>
    <rPh sb="0" eb="3">
      <t>ジシセツ</t>
    </rPh>
    <rPh sb="4" eb="7">
      <t>ホウシャセン</t>
    </rPh>
    <rPh sb="7" eb="9">
      <t>チリョウ</t>
    </rPh>
    <rPh sb="10" eb="12">
      <t>ジッシ</t>
    </rPh>
    <phoneticPr fontId="9"/>
  </si>
  <si>
    <t>自施設で放射線治療を実施している場合の体制整備。
※上段で「いいえ」とした場合、（ウ）～（キ）の項目は、便宜上「－」を選択、または「0」と記入してください（未入力チェックのため）。</t>
    <phoneticPr fontId="9"/>
  </si>
  <si>
    <t>C</t>
    <phoneticPr fontId="9"/>
  </si>
  <si>
    <t>ウ</t>
    <phoneticPr fontId="9"/>
  </si>
  <si>
    <t>イ</t>
    <phoneticPr fontId="9"/>
  </si>
  <si>
    <t>（ア）</t>
    <phoneticPr fontId="9"/>
  </si>
  <si>
    <t>（イ）</t>
    <phoneticPr fontId="9"/>
  </si>
  <si>
    <t>（ウ）</t>
    <phoneticPr fontId="9"/>
  </si>
  <si>
    <t>（エ）</t>
    <phoneticPr fontId="9"/>
  </si>
  <si>
    <t>（オ）</t>
    <phoneticPr fontId="9"/>
  </si>
  <si>
    <t>（カ）</t>
    <phoneticPr fontId="9"/>
  </si>
  <si>
    <t>（キ）</t>
    <phoneticPr fontId="9"/>
  </si>
  <si>
    <t>（ク）</t>
    <phoneticPr fontId="9"/>
  </si>
  <si>
    <t>（ケ）</t>
    <phoneticPr fontId="9"/>
  </si>
  <si>
    <t>（コ）</t>
    <phoneticPr fontId="9"/>
  </si>
  <si>
    <t>（サ）</t>
    <phoneticPr fontId="9"/>
  </si>
  <si>
    <t>アドバンス・ケア・プランニングを含めた意思決定支援について院内において広く研修を行うとともに、患者や家族に周知している。</t>
    <phoneticPr fontId="9"/>
  </si>
  <si>
    <t>エ</t>
    <phoneticPr fontId="9"/>
  </si>
  <si>
    <t>国がん拠点病院が行う医療圏内のがん診療に関する情報集約及び情報提供等に協力している。</t>
    <phoneticPr fontId="9"/>
  </si>
  <si>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9"/>
  </si>
  <si>
    <t>情報提供の手段について簡潔に記載すること（例：医療機関のwebサイトに掲載）</t>
    <phoneticPr fontId="9"/>
  </si>
  <si>
    <t>-</t>
    <phoneticPr fontId="9"/>
  </si>
  <si>
    <t>オ</t>
    <phoneticPr fontId="9"/>
  </si>
  <si>
    <t>B</t>
    <phoneticPr fontId="9"/>
  </si>
  <si>
    <t>放射線診断・治療に関する専門的な知識を有する医師を１人以上配置するか、又は他の医療機関から協力を得られる体制を確保している。</t>
    <phoneticPr fontId="9"/>
  </si>
  <si>
    <t>他の医療機関から協力を得られる体制を確保している。</t>
    <phoneticPr fontId="9"/>
  </si>
  <si>
    <t>放射線診断・治療に関する専門的な知識を有する医師の人数（上記で「いいえ」とした場合、A項目）</t>
    <phoneticPr fontId="9"/>
  </si>
  <si>
    <t>うち常勤の人数（上記で「いいえ」とした場合、C項目）</t>
    <phoneticPr fontId="9"/>
  </si>
  <si>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9"/>
  </si>
  <si>
    <t>病理解剖等の病理診断に係る周辺業務を含む、専従の病理診断に携わる医師を配置しているか、又は他の医療機関から協力を得られる体制を確保している。</t>
    <phoneticPr fontId="9"/>
  </si>
  <si>
    <t>他の医療機関から協力を得られる体制を確保している。</t>
    <phoneticPr fontId="9"/>
  </si>
  <si>
    <t>病理解剖等の病理診断に係る周辺業務を含む、専従の病理診断に携わる医師の人数（上記で「いいえ」とした場合、A項目）</t>
    <phoneticPr fontId="9"/>
  </si>
  <si>
    <t>-</t>
    <phoneticPr fontId="9"/>
  </si>
  <si>
    <t>専任の放射線治療に携わる常勤の診療放射線技師の人数</t>
    <phoneticPr fontId="9"/>
  </si>
  <si>
    <t>当該技師は放射線治療に関する専門資格を有する者である。</t>
    <phoneticPr fontId="9"/>
  </si>
  <si>
    <t>うち日本放射線治療専門放射線技師認定機構から認定を行う放射線治療専門放射線技師として認定を受けている者</t>
    <phoneticPr fontId="9"/>
  </si>
  <si>
    <t>その他の専門資格の場合、専門資格と人数を記載すること</t>
    <phoneticPr fontId="9"/>
  </si>
  <si>
    <t>-</t>
    <phoneticPr fontId="9"/>
  </si>
  <si>
    <t>専任の放射線治療における機器の精度管理、照射計画の検証、照射計画補助作業等に携わる常勤の技術者等の人数</t>
    <phoneticPr fontId="9"/>
  </si>
  <si>
    <t>うち専従常勤の人数</t>
    <phoneticPr fontId="9"/>
  </si>
  <si>
    <t>当該技術者は医学物理学に関する専門資格を有する者である</t>
    <phoneticPr fontId="9"/>
  </si>
  <si>
    <t>うち一般財団法人医学物理士認定機構から医学物理士として認定を受けている者</t>
    <phoneticPr fontId="9"/>
  </si>
  <si>
    <t>うち専従常勤の人数</t>
    <phoneticPr fontId="9"/>
  </si>
  <si>
    <t>当該看護師は放射線治療に関する専門資格を有する者である。</t>
    <phoneticPr fontId="9"/>
  </si>
  <si>
    <t>当該看護師はがん看護又はがん薬物療法に関する専門資格を有する者である</t>
    <phoneticPr fontId="9"/>
  </si>
  <si>
    <t>うち公益社団法人日本看護協会からがん看護専門看護師として認定を受けている者</t>
    <phoneticPr fontId="9"/>
  </si>
  <si>
    <t>うち公益社団法人日本看護協会からがん化学療法看護認定看護師として認定を受けている者</t>
    <phoneticPr fontId="9"/>
  </si>
  <si>
    <t>C</t>
    <phoneticPr fontId="9"/>
  </si>
  <si>
    <t>当該薬剤師はがん薬物療法に関する専門資格を有する者である</t>
    <phoneticPr fontId="9"/>
  </si>
  <si>
    <t>当該看護師はがん看護又は緩和ケアに関する専門資格を有する者である</t>
    <phoneticPr fontId="9"/>
  </si>
  <si>
    <t>A</t>
    <phoneticPr fontId="9"/>
  </si>
  <si>
    <t>当該薬剤師は緩和薬物療法に関する専門資格を有する者である</t>
    <phoneticPr fontId="9"/>
  </si>
  <si>
    <t>うち公益社団法人日本看護協会からがん看護専門看護師として認定を受けている者の人数</t>
    <rPh sb="38" eb="40">
      <t>ニンズウ</t>
    </rPh>
    <phoneticPr fontId="9"/>
  </si>
  <si>
    <t>うち公益社団法人日本看護協会から緩和ケア認定看護師として認定を受けている者の人数</t>
    <rPh sb="38" eb="40">
      <t>ニンズウ</t>
    </rPh>
    <phoneticPr fontId="9"/>
  </si>
  <si>
    <t>うち公益社団法人日本看護協会からがん性疼痛看護認定看護師として認定を受けている者の人数</t>
    <rPh sb="41" eb="43">
      <t>ニンズウ</t>
    </rPh>
    <phoneticPr fontId="9"/>
  </si>
  <si>
    <t>うち一般社団法人日本緩和医療薬学会から緩和薬物療法認定薬剤師として認定を受けている者の人数</t>
    <rPh sb="43" eb="45">
      <t>ニンズウ</t>
    </rPh>
    <phoneticPr fontId="9"/>
  </si>
  <si>
    <t>うち一般社団法人日本医療薬学会からがん専門薬剤師として認定を受けている者の人数</t>
    <rPh sb="37" eb="39">
      <t>ニンズウ</t>
    </rPh>
    <phoneticPr fontId="9"/>
  </si>
  <si>
    <t>うち一般社団法人日本病院薬剤師会からがん薬物療法認定薬剤師として認定を受けている者の人数</t>
    <rPh sb="42" eb="44">
      <t>ニンズウ</t>
    </rPh>
    <phoneticPr fontId="9"/>
  </si>
  <si>
    <t>うち公益社団法人日本看護協会からがん放射線療法看護認定看護師として認定を受けている者の人数</t>
    <rPh sb="43" eb="45">
      <t>ニンズウ</t>
    </rPh>
    <phoneticPr fontId="9"/>
  </si>
  <si>
    <t>当該相談支援に携わる者は社会福祉士である</t>
    <rPh sb="0" eb="2">
      <t>トウガイ</t>
    </rPh>
    <phoneticPr fontId="9"/>
  </si>
  <si>
    <t>当該相談支援に携わる者は精神保健福祉士である</t>
    <phoneticPr fontId="9"/>
  </si>
  <si>
    <t>上記人数</t>
    <rPh sb="0" eb="2">
      <t>ジョウキ</t>
    </rPh>
    <rPh sb="2" eb="4">
      <t>ニンズウ</t>
    </rPh>
    <phoneticPr fontId="9"/>
  </si>
  <si>
    <t>当該医療心理に携わる者は公認心理師として認定を受けている者である</t>
    <rPh sb="0" eb="2">
      <t>トウガイ</t>
    </rPh>
    <phoneticPr fontId="9"/>
  </si>
  <si>
    <t>当該医療心理に携わる者は公益財団法人日本臨床心理士資格認定協会の臨床心理士である</t>
    <phoneticPr fontId="9"/>
  </si>
  <si>
    <t>上記人数</t>
    <phoneticPr fontId="9"/>
  </si>
  <si>
    <t>自施設で病理診断を行っている。</t>
    <phoneticPr fontId="9"/>
  </si>
  <si>
    <t>細胞診断に係る業務に携わる者の人数</t>
    <rPh sb="15" eb="17">
      <t>ニンズウ</t>
    </rPh>
    <phoneticPr fontId="9"/>
  </si>
  <si>
    <t>専任の人数</t>
    <phoneticPr fontId="9"/>
  </si>
  <si>
    <t>うち専任常勤の人数</t>
    <phoneticPr fontId="9"/>
  </si>
  <si>
    <t>当該診療従事者は細胞診断に関する専門資格を有する者である</t>
    <phoneticPr fontId="9"/>
  </si>
  <si>
    <t>うち公益社団法人日本臨床細胞学会から細胞検査士として認定を受けている者</t>
    <phoneticPr fontId="9"/>
  </si>
  <si>
    <t>ア</t>
    <phoneticPr fontId="9"/>
  </si>
  <si>
    <t>イ</t>
    <phoneticPr fontId="9"/>
  </si>
  <si>
    <t>ウ</t>
    <phoneticPr fontId="9"/>
  </si>
  <si>
    <t>エ</t>
    <phoneticPr fontId="9"/>
  </si>
  <si>
    <t>B</t>
    <phoneticPr fontId="9"/>
  </si>
  <si>
    <t>（ア）</t>
    <phoneticPr fontId="9"/>
  </si>
  <si>
    <t>（イ）</t>
    <phoneticPr fontId="9"/>
  </si>
  <si>
    <t>（ウ）</t>
    <phoneticPr fontId="9"/>
  </si>
  <si>
    <t>（エ）</t>
    <phoneticPr fontId="9"/>
  </si>
  <si>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9"/>
  </si>
  <si>
    <t>情報提供の手段について簡潔に記載すること（例：医療機関のwebサイトに掲載）</t>
    <phoneticPr fontId="9"/>
  </si>
  <si>
    <t>自施設の長は緩和ケア研修を修了している。</t>
    <rPh sb="0" eb="3">
      <t>ジシセツ</t>
    </rPh>
    <rPh sb="4" eb="5">
      <t>チョウ</t>
    </rPh>
    <phoneticPr fontId="9"/>
  </si>
  <si>
    <t>医療従事者に対してがん告知や余命告知等を行う際のコミュニケーション研修を1年に最低1回でも実施している。</t>
    <phoneticPr fontId="9"/>
  </si>
  <si>
    <t>がん告知や余命告知等を行う際のコミュニケーションに関するマニュアルがある。</t>
    <phoneticPr fontId="9"/>
  </si>
  <si>
    <t>ア</t>
    <phoneticPr fontId="9"/>
  </si>
  <si>
    <t>イ</t>
    <phoneticPr fontId="9"/>
  </si>
  <si>
    <t>ウ</t>
    <phoneticPr fontId="9"/>
  </si>
  <si>
    <t>エ</t>
    <phoneticPr fontId="9"/>
  </si>
  <si>
    <t>オ</t>
    <phoneticPr fontId="9"/>
  </si>
  <si>
    <t>カ</t>
    <phoneticPr fontId="9"/>
  </si>
  <si>
    <t>キ</t>
    <phoneticPr fontId="9"/>
  </si>
  <si>
    <t>ク</t>
    <phoneticPr fontId="9"/>
  </si>
  <si>
    <t>-</t>
    <phoneticPr fontId="9"/>
  </si>
  <si>
    <t>研修の実施案内に関する情報提供の手段について簡潔に記載すること（例：医療機関のwebサイトに掲載）</t>
    <phoneticPr fontId="9"/>
  </si>
  <si>
    <t>専任のがんに関する相談支援に携わる者のうち、社会福祉士の人数</t>
    <phoneticPr fontId="9"/>
  </si>
  <si>
    <t>C</t>
    <phoneticPr fontId="9"/>
  </si>
  <si>
    <t>ピアサポーターによる相談支援を導入している</t>
    <rPh sb="10" eb="14">
      <t>ソウダンシエン</t>
    </rPh>
    <rPh sb="15" eb="17">
      <t>ドウニュウ</t>
    </rPh>
    <phoneticPr fontId="9"/>
  </si>
  <si>
    <t>相談支援に関し十分な経験を有するがん患者団体との連携協力体制の構築に積極的に取り組んでいる。</t>
    <phoneticPr fontId="9"/>
  </si>
  <si>
    <t>（ア）</t>
    <phoneticPr fontId="9"/>
  </si>
  <si>
    <t>（イ）</t>
    <phoneticPr fontId="9"/>
  </si>
  <si>
    <t>（ウ）</t>
    <phoneticPr fontId="9"/>
  </si>
  <si>
    <t>（エ）</t>
    <phoneticPr fontId="9"/>
  </si>
  <si>
    <t>（オ）</t>
    <phoneticPr fontId="9"/>
  </si>
  <si>
    <t>※一人以上の配置が必要です。
別紙16に詳細を記載してください。</t>
    <rPh sb="15" eb="17">
      <t>ベッシ</t>
    </rPh>
    <rPh sb="20" eb="22">
      <t>ショウサイ</t>
    </rPh>
    <rPh sb="23" eb="25">
      <t>キサイ</t>
    </rPh>
    <phoneticPr fontId="9"/>
  </si>
  <si>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9"/>
  </si>
  <si>
    <t>B</t>
    <phoneticPr fontId="9"/>
  </si>
  <si>
    <t>特に、自施設で対応しない診療内容についての連携先や集学的治療等が終了した後のフォローアップについて地域で連携する医療機関等の情報提供を行っている。</t>
    <phoneticPr fontId="9"/>
  </si>
  <si>
    <t>地域を対象として実施した、がんに関するセミナー等の開催回数（総数）　</t>
    <rPh sb="8" eb="10">
      <t>ジッシ</t>
    </rPh>
    <phoneticPr fontId="9"/>
  </si>
  <si>
    <t>-</t>
    <phoneticPr fontId="9"/>
  </si>
  <si>
    <t>実施内容の広報等に努めている。</t>
    <phoneticPr fontId="9"/>
  </si>
  <si>
    <t>情報提供の手段について簡潔に記載すること（例：医療機関のwebサイトに掲載）※該当なしの場合は「なし」と記載してください。</t>
    <rPh sb="39" eb="41">
      <t>ガイトウ</t>
    </rPh>
    <rPh sb="44" eb="46">
      <t>バアイ</t>
    </rPh>
    <rPh sb="52" eb="54">
      <t>キサイ</t>
    </rPh>
    <phoneticPr fontId="9"/>
  </si>
  <si>
    <t>C</t>
    <phoneticPr fontId="9"/>
  </si>
  <si>
    <t>※非常勤を常勤換算する際は、小数点を含む数字であっても問題ありませんのでそのままご入力ください。</t>
    <rPh sb="14" eb="17">
      <t>ショウスウテン</t>
    </rPh>
    <phoneticPr fontId="9"/>
  </si>
  <si>
    <t>肝がん</t>
    <phoneticPr fontId="9"/>
  </si>
  <si>
    <t>前立腺がん</t>
    <phoneticPr fontId="9"/>
  </si>
  <si>
    <t>　肺がん</t>
    <phoneticPr fontId="9"/>
  </si>
  <si>
    <t>大腸がん</t>
    <phoneticPr fontId="9"/>
  </si>
  <si>
    <t>胃がん</t>
    <phoneticPr fontId="9"/>
  </si>
  <si>
    <t>乳がん</t>
    <phoneticPr fontId="9"/>
  </si>
  <si>
    <t>病院名</t>
  </si>
  <si>
    <t>年間入院患者数の状況</t>
  </si>
  <si>
    <t>院内
がん登録</t>
    <rPh sb="0" eb="2">
      <t>インナイ</t>
    </rPh>
    <rPh sb="5" eb="7">
      <t>トウロク</t>
    </rPh>
    <phoneticPr fontId="93"/>
  </si>
  <si>
    <t>放射線治療</t>
    <phoneticPr fontId="93"/>
  </si>
  <si>
    <t>緩和ケア</t>
  </si>
  <si>
    <t>相談支援センター</t>
  </si>
  <si>
    <t>地域連携</t>
  </si>
  <si>
    <t>診療実績割合</t>
    <rPh sb="0" eb="2">
      <t>シンリョウ</t>
    </rPh>
    <rPh sb="2" eb="4">
      <t>ジッセキ</t>
    </rPh>
    <rPh sb="4" eb="6">
      <t>ワリアイ</t>
    </rPh>
    <phoneticPr fontId="93"/>
  </si>
  <si>
    <t>院内
がん
登録数</t>
    <rPh sb="0" eb="2">
      <t>インナイ</t>
    </rPh>
    <rPh sb="6" eb="8">
      <t>トウロク</t>
    </rPh>
    <rPh sb="8" eb="9">
      <t>スウ</t>
    </rPh>
    <phoneticPr fontId="93"/>
  </si>
  <si>
    <t>肺がん</t>
    <phoneticPr fontId="9"/>
  </si>
  <si>
    <t>胃がん手術</t>
  </si>
  <si>
    <t>大腸がん手術</t>
  </si>
  <si>
    <t>肝臓がん</t>
  </si>
  <si>
    <t>乳がん</t>
  </si>
  <si>
    <t>放射線治療
のべ患者数</t>
    <phoneticPr fontId="93"/>
  </si>
  <si>
    <t>治療別のべ患者数</t>
    <rPh sb="0" eb="2">
      <t>チリョウ</t>
    </rPh>
    <rPh sb="2" eb="3">
      <t>ベツ</t>
    </rPh>
    <phoneticPr fontId="9"/>
  </si>
  <si>
    <t>部位別のべ患者数</t>
    <rPh sb="0" eb="2">
      <t>ブイ</t>
    </rPh>
    <phoneticPr fontId="93"/>
  </si>
  <si>
    <t>がんに係る薬物療法のべ患者数</t>
    <rPh sb="5" eb="7">
      <t>ヤクブツ</t>
    </rPh>
    <phoneticPr fontId="93"/>
  </si>
  <si>
    <t>緩和ケアチームの新規介入患者数</t>
    <phoneticPr fontId="93"/>
  </si>
  <si>
    <t>緩和ケアチームに対する新規診療症例数</t>
    <phoneticPr fontId="93"/>
  </si>
  <si>
    <t>当該2次医療圏に居住するがん患者の診療実績の割合</t>
    <phoneticPr fontId="93"/>
  </si>
  <si>
    <t>開胸手術</t>
    <rPh sb="0" eb="2">
      <t>カイキョウ</t>
    </rPh>
    <rPh sb="2" eb="4">
      <t>シュジュツ</t>
    </rPh>
    <phoneticPr fontId="9"/>
  </si>
  <si>
    <t xml:space="preserve">胸腔鏡下手術 </t>
  </si>
  <si>
    <t>開腹手術</t>
    <rPh sb="0" eb="2">
      <t>カイフク</t>
    </rPh>
    <rPh sb="2" eb="4">
      <t>シュジュツ</t>
    </rPh>
    <phoneticPr fontId="9"/>
  </si>
  <si>
    <t>腹腔鏡下手術</t>
    <rPh sb="0" eb="2">
      <t>フククウ</t>
    </rPh>
    <rPh sb="2" eb="3">
      <t>キョウ</t>
    </rPh>
    <rPh sb="3" eb="4">
      <t>シタ</t>
    </rPh>
    <rPh sb="4" eb="6">
      <t>シュジュツ</t>
    </rPh>
    <phoneticPr fontId="9"/>
  </si>
  <si>
    <t>EMR</t>
    <phoneticPr fontId="9"/>
  </si>
  <si>
    <t>ESD</t>
    <phoneticPr fontId="9"/>
  </si>
  <si>
    <t>開腹手術</t>
  </si>
  <si>
    <t>腹腔鏡下手術</t>
    <rPh sb="0" eb="2">
      <t>フククウ</t>
    </rPh>
    <rPh sb="2" eb="3">
      <t>キョウ</t>
    </rPh>
    <rPh sb="3" eb="4">
      <t>カ</t>
    </rPh>
    <rPh sb="4" eb="6">
      <t>シュジュツ</t>
    </rPh>
    <phoneticPr fontId="93"/>
  </si>
  <si>
    <t>内視鏡手術</t>
  </si>
  <si>
    <t>腹腔鏡下手術</t>
    <rPh sb="0" eb="2">
      <t>フククウ</t>
    </rPh>
    <rPh sb="2" eb="3">
      <t>キョウ</t>
    </rPh>
    <rPh sb="3" eb="4">
      <t>カ</t>
    </rPh>
    <rPh sb="4" eb="6">
      <t>シュジュツ</t>
    </rPh>
    <phoneticPr fontId="9"/>
  </si>
  <si>
    <t>マイクロ波凝固法</t>
    <rPh sb="4" eb="5">
      <t>ハ</t>
    </rPh>
    <rPh sb="5" eb="7">
      <t>ギョウコ</t>
    </rPh>
    <rPh sb="7" eb="8">
      <t>ホウ</t>
    </rPh>
    <phoneticPr fontId="9"/>
  </si>
  <si>
    <t>ラジオ波焼灼療法</t>
    <rPh sb="4" eb="6">
      <t>ショウシャク</t>
    </rPh>
    <rPh sb="6" eb="8">
      <t>リョウホウ</t>
    </rPh>
    <phoneticPr fontId="9"/>
  </si>
  <si>
    <t>手術</t>
    <phoneticPr fontId="93"/>
  </si>
  <si>
    <t>乳癌冷凍凝固摘出術</t>
    <rPh sb="0" eb="2">
      <t>ニュウガン</t>
    </rPh>
    <rPh sb="2" eb="4">
      <t>レイトウ</t>
    </rPh>
    <rPh sb="4" eb="6">
      <t>ギョウコ</t>
    </rPh>
    <rPh sb="6" eb="8">
      <t>テキシュツ</t>
    </rPh>
    <rPh sb="8" eb="9">
      <t>ジュツ</t>
    </rPh>
    <phoneticPr fontId="9"/>
  </si>
  <si>
    <t>乳腺腫瘍摘出術（生検）</t>
    <phoneticPr fontId="9"/>
  </si>
  <si>
    <t>乳腺腫瘍画像ガイド下吸引術</t>
    <rPh sb="0" eb="2">
      <t>ニュウセン</t>
    </rPh>
    <rPh sb="2" eb="4">
      <t>シュヨウ</t>
    </rPh>
    <rPh sb="4" eb="6">
      <t>ガゾウ</t>
    </rPh>
    <rPh sb="9" eb="10">
      <t>カ</t>
    </rPh>
    <rPh sb="10" eb="12">
      <t>キュウイン</t>
    </rPh>
    <rPh sb="12" eb="13">
      <t>ジュツ</t>
    </rPh>
    <phoneticPr fontId="9"/>
  </si>
  <si>
    <t>体外照射</t>
    <rPh sb="0" eb="2">
      <t>タイガイ</t>
    </rPh>
    <rPh sb="2" eb="4">
      <t>ショウシャ</t>
    </rPh>
    <phoneticPr fontId="9"/>
  </si>
  <si>
    <t>定位照射（脳）</t>
    <rPh sb="0" eb="2">
      <t>テイイ</t>
    </rPh>
    <rPh sb="2" eb="4">
      <t>ショウシャ</t>
    </rPh>
    <rPh sb="5" eb="6">
      <t>ノウ</t>
    </rPh>
    <phoneticPr fontId="9"/>
  </si>
  <si>
    <t>定位照射（体幹部）</t>
    <rPh sb="0" eb="2">
      <t>テイイ</t>
    </rPh>
    <rPh sb="2" eb="4">
      <t>ショウシャ</t>
    </rPh>
    <rPh sb="5" eb="7">
      <t>タイカン</t>
    </rPh>
    <rPh sb="7" eb="8">
      <t>ブ</t>
    </rPh>
    <phoneticPr fontId="9"/>
  </si>
  <si>
    <t>強度変調放射線治療
（IMRT）</t>
    <rPh sb="0" eb="2">
      <t>キョウド</t>
    </rPh>
    <rPh sb="2" eb="4">
      <t>ヘンチョウ</t>
    </rPh>
    <rPh sb="4" eb="7">
      <t>ホウシャセン</t>
    </rPh>
    <rPh sb="7" eb="9">
      <t>チリョウ</t>
    </rPh>
    <phoneticPr fontId="9"/>
  </si>
  <si>
    <t>粒子線治療（重粒子線、陽子線治療）</t>
    <phoneticPr fontId="93"/>
  </si>
  <si>
    <t>密封小線源治療</t>
  </si>
  <si>
    <t>核医学治療</t>
    <phoneticPr fontId="93"/>
  </si>
  <si>
    <t>肺がん</t>
    <phoneticPr fontId="93"/>
  </si>
  <si>
    <t>胃がん</t>
    <phoneticPr fontId="93"/>
  </si>
  <si>
    <t>肝がん</t>
    <phoneticPr fontId="93"/>
  </si>
  <si>
    <t>大腸がん</t>
    <phoneticPr fontId="93"/>
  </si>
  <si>
    <t>膵臓がん</t>
  </si>
  <si>
    <t>身体症状</t>
    <phoneticPr fontId="93"/>
  </si>
  <si>
    <t>精神症状</t>
    <phoneticPr fontId="93"/>
  </si>
  <si>
    <t>社会的苦痛</t>
    <phoneticPr fontId="93"/>
  </si>
  <si>
    <t>肺がん、胃がん、肝がん、大腸がん及び乳がんとそれ以外のがん</t>
    <rPh sb="24" eb="26">
      <t>イガイ</t>
    </rPh>
    <phoneticPr fontId="9"/>
  </si>
  <si>
    <t>※緩和ケア病棟が設定されている場合は、「2」以降も記載してください。</t>
    <rPh sb="5" eb="7">
      <t>ビョウトウ</t>
    </rPh>
    <phoneticPr fontId="9"/>
  </si>
  <si>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9"/>
  </si>
  <si>
    <t>-</t>
    <phoneticPr fontId="9"/>
  </si>
  <si>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9"/>
  </si>
  <si>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9"/>
  </si>
  <si>
    <t>（ア）</t>
    <phoneticPr fontId="9"/>
  </si>
  <si>
    <t>（イ）　</t>
    <phoneticPr fontId="9"/>
  </si>
  <si>
    <t>（ウ）　</t>
    <phoneticPr fontId="9"/>
  </si>
  <si>
    <t>（ア）　</t>
    <phoneticPr fontId="9"/>
  </si>
  <si>
    <t>（エ）</t>
    <phoneticPr fontId="9"/>
  </si>
  <si>
    <t>（オ）</t>
    <phoneticPr fontId="9"/>
  </si>
  <si>
    <t>（カ）</t>
    <phoneticPr fontId="9"/>
  </si>
  <si>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9"/>
  </si>
  <si>
    <t>（イ）</t>
    <phoneticPr fontId="9"/>
  </si>
  <si>
    <t>緩和ケアチームに配置されている、専任の身体症状の緩和に携わる専門的な知識及び技能を有する医師のうち、
緩和ケアに関する専門資格を有する者の人数　</t>
    <rPh sb="69" eb="71">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</si>
  <si>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9"/>
  </si>
  <si>
    <t>※A項目の場合は1人以上の配置が必要です。</t>
    <rPh sb="5" eb="7">
      <t>バアイ</t>
    </rPh>
    <rPh sb="9" eb="10">
      <t>ニン</t>
    </rPh>
    <rPh sb="10" eb="12">
      <t>イジョウ</t>
    </rPh>
    <rPh sb="13" eb="15">
      <t>ハイチ</t>
    </rPh>
    <rPh sb="16" eb="18">
      <t>ヒツヨウ</t>
    </rPh>
    <phoneticPr fontId="9"/>
  </si>
  <si>
    <t>（ウ）</t>
    <phoneticPr fontId="9"/>
  </si>
  <si>
    <t>（キ）</t>
    <phoneticPr fontId="9"/>
  </si>
  <si>
    <t>※A項目の場合は一人以上の配置が必要です。</t>
    <rPh sb="8" eb="9">
      <t>イチ</t>
    </rPh>
    <rPh sb="10" eb="12">
      <t>イジョウ</t>
    </rPh>
    <rPh sb="16" eb="18">
      <t>ヒツヨウ</t>
    </rPh>
    <phoneticPr fontId="9"/>
  </si>
  <si>
    <t>C</t>
    <phoneticPr fontId="9"/>
  </si>
  <si>
    <t>AYA世代：Adolescent and Young Adult（思春期・若年成人）の頭文字をとったもので、主に思春期（15歳～）から30歳代までの世代を指す。</t>
    <rPh sb="3" eb="5">
      <t>セダイ</t>
    </rPh>
    <phoneticPr fontId="9"/>
  </si>
  <si>
    <t>情報提供の手段について簡潔に記載すること（例：医療機関のwebサイトに掲載）※該当なしの場合は「なし」と記載してください。</t>
    <phoneticPr fontId="9"/>
  </si>
  <si>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9"/>
  </si>
  <si>
    <t>その他の専門資格の場合、専門資格と人数を記載すること※該当なしの場合は「なし」と記載してください。</t>
    <phoneticPr fontId="9"/>
  </si>
  <si>
    <t>議論する場は既存の会議体を利用する等の工夫を行っている。</t>
    <phoneticPr fontId="9"/>
  </si>
  <si>
    <t>-</t>
    <phoneticPr fontId="9"/>
  </si>
  <si>
    <t>地域連携を推進するための、地域の役割分担に関する多施設合同会議の開催状況</t>
    <phoneticPr fontId="9"/>
  </si>
  <si>
    <t>■地域連携を推進するための、地域の役割分担に関する多施設合同会議の開催案内について、HPに掲載している場合、該当するページのアドレスを記載してください。</t>
    <phoneticPr fontId="9"/>
  </si>
  <si>
    <t>参加施設数
（自施設を含めてカウントすること）</t>
    <rPh sb="0" eb="2">
      <t>サンカ</t>
    </rPh>
    <rPh sb="2" eb="4">
      <t>シセツ</t>
    </rPh>
    <rPh sb="4" eb="5">
      <t>スウ</t>
    </rPh>
    <phoneticPr fontId="9"/>
  </si>
  <si>
    <t>構成員数
（定期的な出席者）</t>
    <rPh sb="0" eb="3">
      <t>コウセイイン</t>
    </rPh>
    <rPh sb="3" eb="4">
      <t>スウ</t>
    </rPh>
    <rPh sb="6" eb="9">
      <t>テイキテキ</t>
    </rPh>
    <rPh sb="10" eb="13">
      <t>シュッセキシャ</t>
    </rPh>
    <phoneticPr fontId="9"/>
  </si>
  <si>
    <t>開催頻度</t>
    <rPh sb="0" eb="2">
      <t>カイサイ</t>
    </rPh>
    <rPh sb="2" eb="4">
      <t>ヒンド</t>
    </rPh>
    <phoneticPr fontId="9"/>
  </si>
  <si>
    <t>議事内容</t>
    <rPh sb="0" eb="2">
      <t>ギジ</t>
    </rPh>
    <rPh sb="2" eb="4">
      <t>ナイヨウ</t>
    </rPh>
    <phoneticPr fontId="9"/>
  </si>
  <si>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9"/>
  </si>
  <si>
    <t>非定期
3ヶ月に1回程度</t>
    <rPh sb="0" eb="1">
      <t>ヒ</t>
    </rPh>
    <rPh sb="1" eb="3">
      <t>テイキ</t>
    </rPh>
    <rPh sb="6" eb="7">
      <t>ゲツ</t>
    </rPh>
    <rPh sb="9" eb="12">
      <t>カイテイド</t>
    </rPh>
    <phoneticPr fontId="9"/>
  </si>
  <si>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9"/>
  </si>
  <si>
    <t>○○市医療連携協議会</t>
    <rPh sb="2" eb="3">
      <t>シ</t>
    </rPh>
    <rPh sb="3" eb="5">
      <t>イリョウ</t>
    </rPh>
    <rPh sb="5" eb="7">
      <t>レンケイ</t>
    </rPh>
    <rPh sb="7" eb="10">
      <t>キョウギカイ</t>
    </rPh>
    <phoneticPr fontId="9"/>
  </si>
  <si>
    <t>※HPに掲載していない場合は、「なし」と記載してください。</t>
    <rPh sb="4" eb="6">
      <t>ケイサイ</t>
    </rPh>
    <rPh sb="11" eb="13">
      <t>バアイ</t>
    </rPh>
    <rPh sb="20" eb="22">
      <t>キサイ</t>
    </rPh>
    <phoneticPr fontId="9"/>
  </si>
  <si>
    <t>地域連携カンファ開催状況</t>
    <phoneticPr fontId="9"/>
  </si>
  <si>
    <t>歯科との連携</t>
    <rPh sb="0" eb="2">
      <t>シカ</t>
    </rPh>
    <rPh sb="4" eb="6">
      <t>レンケイ</t>
    </rPh>
    <phoneticPr fontId="9"/>
  </si>
  <si>
    <t>乳がん</t>
    <phoneticPr fontId="9" type="Hiragana"/>
  </si>
  <si>
    <t>胆のう・胆管がん</t>
    <phoneticPr fontId="9" type="Hiragana"/>
  </si>
  <si>
    <t>前立腺がん</t>
    <phoneticPr fontId="9" type="Hiragana"/>
  </si>
  <si>
    <t>膵臓がん</t>
    <phoneticPr fontId="9" type="Hiragana"/>
  </si>
  <si>
    <t>治療件数（手術件数）の集計</t>
    <rPh sb="0" eb="2">
      <t>チリョウ</t>
    </rPh>
    <rPh sb="2" eb="4">
      <t>ケンスウ</t>
    </rPh>
    <rPh sb="5" eb="7">
      <t>シュジュツ</t>
    </rPh>
    <rPh sb="7" eb="9">
      <t>ケンスウ</t>
    </rPh>
    <rPh sb="11" eb="13">
      <t>シュウケイ</t>
    </rPh>
    <phoneticPr fontId="93"/>
  </si>
  <si>
    <t>年間入院がん患者延べ数</t>
    <rPh sb="0" eb="2">
      <t>ネンカン</t>
    </rPh>
    <rPh sb="2" eb="4">
      <t>ニュウイン</t>
    </rPh>
    <rPh sb="6" eb="8">
      <t>カンジャ</t>
    </rPh>
    <rPh sb="8" eb="9">
      <t>ノ</t>
    </rPh>
    <rPh sb="10" eb="11">
      <t>スウ</t>
    </rPh>
    <phoneticPr fontId="9"/>
  </si>
  <si>
    <t>年間入院患者延べ数に占めるがん患者の割合
(％)</t>
    <rPh sb="0" eb="2">
      <t>ネンカン</t>
    </rPh>
    <rPh sb="6" eb="7">
      <t>ノ</t>
    </rPh>
    <phoneticPr fontId="93"/>
  </si>
  <si>
    <t>悪性腫瘍の手術件数</t>
    <rPh sb="7" eb="9">
      <t>ケンスウ</t>
    </rPh>
    <phoneticPr fontId="9"/>
  </si>
  <si>
    <t>前立腺がん</t>
    <rPh sb="0" eb="3">
      <t>ゼンリツセン</t>
    </rPh>
    <phoneticPr fontId="93"/>
  </si>
  <si>
    <t>胆のうがん</t>
    <rPh sb="0" eb="1">
      <t>タン</t>
    </rPh>
    <phoneticPr fontId="93"/>
  </si>
  <si>
    <t>胆管がん</t>
    <rPh sb="0" eb="2">
      <t>タンカン</t>
    </rPh>
    <phoneticPr fontId="93"/>
  </si>
  <si>
    <t>膵臓がん</t>
    <rPh sb="0" eb="2">
      <t>スイゾウ</t>
    </rPh>
    <phoneticPr fontId="93"/>
  </si>
  <si>
    <t>相談支援センターにおける年間ののべ相談件数</t>
    <rPh sb="12" eb="14">
      <t>ネンカン</t>
    </rPh>
    <phoneticPr fontId="9"/>
  </si>
  <si>
    <t>病病連携・病診連携の受入患者数</t>
    <rPh sb="12" eb="14">
      <t>カンジャ</t>
    </rPh>
    <phoneticPr fontId="9"/>
  </si>
  <si>
    <t>病病連携・病診連携の紹介患者数</t>
    <rPh sb="10" eb="12">
      <t>ショウカイ</t>
    </rPh>
    <rPh sb="12" eb="14">
      <t>カンジャ</t>
    </rPh>
    <phoneticPr fontId="9"/>
  </si>
  <si>
    <t xml:space="preserve">胸腔鏡下手術 </t>
    <phoneticPr fontId="93"/>
  </si>
  <si>
    <t>乳房再建術（乳房切除後）二次的</t>
    <rPh sb="0" eb="2">
      <t>ニュウボウ</t>
    </rPh>
    <rPh sb="2" eb="5">
      <t>サイケンジュツ</t>
    </rPh>
    <rPh sb="6" eb="8">
      <t>ニュウボウ</t>
    </rPh>
    <rPh sb="8" eb="10">
      <t>セツジョ</t>
    </rPh>
    <rPh sb="10" eb="11">
      <t>ゴ</t>
    </rPh>
    <rPh sb="12" eb="15">
      <t>ニジテキ</t>
    </rPh>
    <phoneticPr fontId="9"/>
  </si>
  <si>
    <t xml:space="preserve">開腹手術
</t>
    <rPh sb="0" eb="2">
      <t>カイフク</t>
    </rPh>
    <rPh sb="2" eb="4">
      <t>シュジュツ</t>
    </rPh>
    <phoneticPr fontId="98"/>
  </si>
  <si>
    <t>腹腔鏡下手術</t>
    <phoneticPr fontId="93"/>
  </si>
  <si>
    <t>胆のう・
胆管がん</t>
    <phoneticPr fontId="93"/>
  </si>
  <si>
    <t>乳がん</t>
    <phoneticPr fontId="93"/>
  </si>
  <si>
    <t>前立腺がん</t>
    <rPh sb="0" eb="3">
      <t>ゼンリツセン</t>
    </rPh>
    <phoneticPr fontId="98"/>
  </si>
  <si>
    <t>（8月の集計）</t>
    <phoneticPr fontId="93"/>
  </si>
  <si>
    <t>年換算</t>
    <rPh sb="0" eb="1">
      <t>ネン</t>
    </rPh>
    <rPh sb="1" eb="3">
      <t>カンサン</t>
    </rPh>
    <phoneticPr fontId="9"/>
  </si>
  <si>
    <t>（8月の集計）</t>
    <phoneticPr fontId="9"/>
  </si>
  <si>
    <t>うちロボット支援手術</t>
    <rPh sb="6" eb="8">
      <t>シエン</t>
    </rPh>
    <rPh sb="8" eb="10">
      <t>シュジュツ</t>
    </rPh>
    <phoneticPr fontId="93"/>
  </si>
  <si>
    <t>-</t>
    <phoneticPr fontId="9"/>
  </si>
  <si>
    <t>がん患者の身体的苦痛や精神心理的苦痛、社会的な問題等の把握及びそれらに対する適切な対応を、診断時から一貫して経時的に行っている。</t>
    <phoneticPr fontId="9"/>
  </si>
  <si>
    <t>妊よう性温存療法及びがん治療後の生殖補助医療に関する意思決定支援を行う体制を整備している。</t>
    <rPh sb="26" eb="32">
      <t>イシケッテイシエン</t>
    </rPh>
    <phoneticPr fontId="9"/>
  </si>
  <si>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9"/>
  </si>
  <si>
    <t>緩和ケアチームが地域の医療機関や在宅療養支援診療所等から定期的に連絡・相談を受ける体制を確保し、必要に応じて助言等を行っている。</t>
    <phoneticPr fontId="9"/>
  </si>
  <si>
    <t>※A項目の場合は1人以上の配置が必要です。</t>
    <phoneticPr fontId="9"/>
  </si>
  <si>
    <t>専門的な知識及び技能を有する医師以外の診療従事者の配置</t>
    <phoneticPr fontId="9"/>
  </si>
  <si>
    <t>患者調査の「病院の推計退院患者数（患者住所地　※２），二次医療圏×傷病分類別」の当該二次医療圏の悪性新生物の数値</t>
    <phoneticPr fontId="9"/>
  </si>
  <si>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9"/>
  </si>
  <si>
    <t>※１. 例えば、同一患者が当月中に2回入院した場合は2件とすること。入院した患者がその日のうちに退院あるいは死亡した場合も1日として計上すること。</t>
    <phoneticPr fontId="9"/>
  </si>
  <si>
    <t>専任のがんに関する相談支援に携わる者を１人以上配置している。</t>
    <phoneticPr fontId="9"/>
  </si>
  <si>
    <t>がんに関する相談支援に携わる者を複数名配置している。</t>
    <phoneticPr fontId="9"/>
  </si>
  <si>
    <t>別紙13に詳細を記載してください。</t>
    <phoneticPr fontId="9"/>
  </si>
  <si>
    <t>一人以上配置されていることが望ましい。</t>
    <phoneticPr fontId="9"/>
  </si>
  <si>
    <t>治療に備えた事前の面談や準備のフローに組み込む等、診療の経過の中で患者が必要とするときに確実に利用できるよう繰り返し案内を行っている。</t>
    <phoneticPr fontId="9"/>
  </si>
  <si>
    <t>＜相談支援センターの業務＞</t>
    <rPh sb="1" eb="5">
      <t>ソウダンシエン</t>
    </rPh>
    <rPh sb="10" eb="12">
      <t>ギョウム</t>
    </rPh>
    <phoneticPr fontId="9"/>
  </si>
  <si>
    <t>①</t>
    <phoneticPr fontId="9"/>
  </si>
  <si>
    <t>②</t>
    <phoneticPr fontId="9"/>
  </si>
  <si>
    <t>ア</t>
    <phoneticPr fontId="9"/>
  </si>
  <si>
    <t>イ</t>
    <phoneticPr fontId="9"/>
  </si>
  <si>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9"/>
  </si>
  <si>
    <t>ウ</t>
    <phoneticPr fontId="9"/>
  </si>
  <si>
    <t>アスベストによる肺がん及び中皮腫</t>
    <rPh sb="8" eb="9">
      <t>ハイ</t>
    </rPh>
    <rPh sb="11" eb="12">
      <t>オヨ</t>
    </rPh>
    <rPh sb="13" eb="15">
      <t>チュウヒ</t>
    </rPh>
    <rPh sb="15" eb="16">
      <t>シュ</t>
    </rPh>
    <phoneticPr fontId="9"/>
  </si>
  <si>
    <t>エ</t>
    <phoneticPr fontId="9"/>
  </si>
  <si>
    <t>HTLV―１関連疾患であるALT</t>
    <rPh sb="6" eb="10">
      <t>カンレンシッカン</t>
    </rPh>
    <phoneticPr fontId="9"/>
  </si>
  <si>
    <t>オ</t>
    <phoneticPr fontId="9"/>
  </si>
  <si>
    <t>セカンドオピニオンの提示が可能な医師や医療機関の紹介</t>
    <rPh sb="10" eb="12">
      <t>テイジ</t>
    </rPh>
    <rPh sb="13" eb="15">
      <t>カノウ</t>
    </rPh>
    <rPh sb="16" eb="18">
      <t>イシ</t>
    </rPh>
    <rPh sb="19" eb="23">
      <t>イリョウキカン</t>
    </rPh>
    <rPh sb="24" eb="26">
      <t>ショウカイ</t>
    </rPh>
    <phoneticPr fontId="9"/>
  </si>
  <si>
    <t>カ</t>
    <phoneticPr fontId="9"/>
  </si>
  <si>
    <t>高齢者のがん治療</t>
    <rPh sb="6" eb="8">
      <t>チリョウ</t>
    </rPh>
    <phoneticPr fontId="9"/>
  </si>
  <si>
    <t>キ</t>
    <phoneticPr fontId="9"/>
  </si>
  <si>
    <t>患者の治療や意思決定</t>
    <rPh sb="0" eb="2">
      <t>カンジャ</t>
    </rPh>
    <rPh sb="3" eb="5">
      <t>チリョウ</t>
    </rPh>
    <rPh sb="6" eb="10">
      <t>イシケッテイ</t>
    </rPh>
    <phoneticPr fontId="9"/>
  </si>
  <si>
    <t>③</t>
    <phoneticPr fontId="9"/>
  </si>
  <si>
    <t>がん患者の療養生活</t>
    <rPh sb="2" eb="4">
      <t>カンジャ</t>
    </rPh>
    <rPh sb="5" eb="9">
      <t>リョウヨウセイカツ</t>
    </rPh>
    <phoneticPr fontId="9"/>
  </si>
  <si>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9"/>
  </si>
  <si>
    <t>経済的支援</t>
    <rPh sb="0" eb="5">
      <t>ケイザイテキシエン</t>
    </rPh>
    <phoneticPr fontId="9"/>
  </si>
  <si>
    <t>小児がんの長期フォローアップ</t>
    <rPh sb="5" eb="7">
      <t>チョウキ</t>
    </rPh>
    <phoneticPr fontId="9"/>
  </si>
  <si>
    <t>アピアランスケアに関する相談</t>
    <rPh sb="9" eb="10">
      <t>カン</t>
    </rPh>
    <rPh sb="12" eb="14">
      <t>ソウダン</t>
    </rPh>
    <phoneticPr fontId="9"/>
  </si>
  <si>
    <t>④</t>
    <phoneticPr fontId="9"/>
  </si>
  <si>
    <t>その他</t>
    <rPh sb="2" eb="3">
      <t>ホカ</t>
    </rPh>
    <phoneticPr fontId="9"/>
  </si>
  <si>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9"/>
  </si>
  <si>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9"/>
  </si>
  <si>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9"/>
  </si>
  <si>
    <t>⑤</t>
    <phoneticPr fontId="9"/>
  </si>
  <si>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9"/>
  </si>
  <si>
    <t>希少がんに関する相談を提供しているか、又は適切な医療機関に紹介している。</t>
    <rPh sb="8" eb="10">
      <t>ソウダン</t>
    </rPh>
    <phoneticPr fontId="9"/>
  </si>
  <si>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9"/>
  </si>
  <si>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9"/>
  </si>
  <si>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9"/>
  </si>
  <si>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9"/>
  </si>
  <si>
    <t>がんの予防やがん検診に関する情報の提供</t>
    <phoneticPr fontId="9"/>
  </si>
  <si>
    <t>がんの治療に関する一般的な情報の提供</t>
    <phoneticPr fontId="9"/>
  </si>
  <si>
    <t>がんの病態や標準的治療法</t>
    <rPh sb="3" eb="5">
      <t>ビョウタイ</t>
    </rPh>
    <rPh sb="6" eb="11">
      <t>ヒョウジュンテキチリョウ</t>
    </rPh>
    <rPh sb="11" eb="12">
      <t>ホウ</t>
    </rPh>
    <phoneticPr fontId="9"/>
  </si>
  <si>
    <t>がんとの共生に関する情報の提供・相談支援</t>
    <rPh sb="4" eb="6">
      <t>キョウセイ</t>
    </rPh>
    <rPh sb="7" eb="8">
      <t>カン</t>
    </rPh>
    <rPh sb="10" eb="12">
      <t>ジョウホウ</t>
    </rPh>
    <rPh sb="13" eb="15">
      <t>テイキョウ</t>
    </rPh>
    <rPh sb="16" eb="20">
      <t>ソウダンシエン</t>
    </rPh>
    <phoneticPr fontId="9"/>
  </si>
  <si>
    <t>その他相談支援に関すること</t>
    <rPh sb="2" eb="3">
      <t>ホカ</t>
    </rPh>
    <rPh sb="3" eb="7">
      <t>ソウダンシエン</t>
    </rPh>
    <rPh sb="8" eb="9">
      <t>カン</t>
    </rPh>
    <phoneticPr fontId="9"/>
  </si>
  <si>
    <t>別紙21に詳細を記載してください。</t>
    <phoneticPr fontId="9"/>
  </si>
  <si>
    <t>〇「自施設で放射線治療を実施している」で「いいえ」とした場合、138～151行目を便宜上0または「-」としてください。（未入力チェックのため）</t>
    <phoneticPr fontId="9"/>
  </si>
  <si>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9"/>
  </si>
  <si>
    <t>C</t>
    <phoneticPr fontId="9"/>
  </si>
  <si>
    <t>A</t>
    <phoneticPr fontId="9"/>
  </si>
  <si>
    <t>大阪府がん診療拠点病院　現況報告書の入力について
以下をご注意ください。</t>
    <rPh sb="0" eb="3">
      <t>オオサカフ</t>
    </rPh>
    <rPh sb="5" eb="7">
      <t>シンリョウ</t>
    </rPh>
    <rPh sb="7" eb="9">
      <t>キョテン</t>
    </rPh>
    <rPh sb="9" eb="11">
      <t>ビョウイン</t>
    </rPh>
    <rPh sb="12" eb="14">
      <t>ゲンキョウ</t>
    </rPh>
    <rPh sb="14" eb="17">
      <t>ホウコクショ</t>
    </rPh>
    <rPh sb="18" eb="20">
      <t>ニュウリョク</t>
    </rPh>
    <rPh sb="25" eb="27">
      <t>イカ</t>
    </rPh>
    <rPh sb="29" eb="31">
      <t>チュウイ</t>
    </rPh>
    <phoneticPr fontId="9"/>
  </si>
  <si>
    <t>別紙18</t>
    <rPh sb="0" eb="2">
      <t>ベッシ</t>
    </rPh>
    <phoneticPr fontId="9"/>
  </si>
  <si>
    <t>がんの治療に際する妊よう性温存目的で未受精卵子の凍結保存を行った患者の人数</t>
    <rPh sb="18" eb="21">
      <t>みじゅせい</t>
    </rPh>
    <rPh sb="21" eb="23">
      <t>らんし</t>
    </rPh>
    <rPh sb="24" eb="26">
      <t>とうけつ</t>
    </rPh>
    <rPh sb="26" eb="28">
      <t>ほぞん</t>
    </rPh>
    <phoneticPr fontId="9" type="Hiragana"/>
  </si>
  <si>
    <t>がんの治療に際する妊よう性温存目的で受精卵（胚）の凍結保存を行った患者の人数</t>
    <rPh sb="18" eb="21">
      <t>じゅせいらん</t>
    </rPh>
    <rPh sb="22" eb="23">
      <t>はい</t>
    </rPh>
    <rPh sb="25" eb="27">
      <t>とうけつ</t>
    </rPh>
    <rPh sb="27" eb="29">
      <t>ほぞん</t>
    </rPh>
    <phoneticPr fontId="9" type="Hiragana"/>
  </si>
  <si>
    <t>がんの治療に際する妊よう性温存目的で卵巣組織の凍結保存を行った患者の人数</t>
    <rPh sb="18" eb="20">
      <t>らんそう</t>
    </rPh>
    <rPh sb="20" eb="22">
      <t>そしき</t>
    </rPh>
    <rPh sb="23" eb="25">
      <t>とうけつ</t>
    </rPh>
    <rPh sb="25" eb="27">
      <t>ほぞん</t>
    </rPh>
    <phoneticPr fontId="9" type="Hiragana"/>
  </si>
  <si>
    <t>専任の薬物療法に携わる専門的な知識及び技能を有する常勤の医師の人数</t>
  </si>
  <si>
    <t>＜提出資料一覧＞</t>
    <rPh sb="1" eb="3">
      <t>テイシュツ</t>
    </rPh>
    <rPh sb="3" eb="5">
      <t>シリョウ</t>
    </rPh>
    <rPh sb="5" eb="7">
      <t>イチラン</t>
    </rPh>
    <phoneticPr fontId="9"/>
  </si>
  <si>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9"/>
  </si>
  <si>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9"/>
  </si>
  <si>
    <t>肺がん、胃がん、肝がん、大腸がん及び乳がんとそれ以外のがんに対して、自施設で対応しない診療内容</t>
    <phoneticPr fontId="9"/>
  </si>
  <si>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9"/>
  </si>
  <si>
    <t>手術療法、放射線治療、薬物療法の提供体制の特記事項</t>
    <rPh sb="8" eb="10">
      <t>チリョウ</t>
    </rPh>
    <phoneticPr fontId="9"/>
  </si>
  <si>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9"/>
  </si>
  <si>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9"/>
  </si>
  <si>
    <t>RI内用療法に必要な放射線治療病室を整備している。
※「自施設で放射線治療を実施している」で「いいえ」とした場合、便宜上「-」を選択してください（未入力チェックのため）。</t>
    <rPh sb="10" eb="13">
      <t>ホウシャセン</t>
    </rPh>
    <phoneticPr fontId="9"/>
  </si>
  <si>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9"/>
  </si>
  <si>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9"/>
  </si>
  <si>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9"/>
  </si>
  <si>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9"/>
  </si>
  <si>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9"/>
  </si>
  <si>
    <t>画像下治療（ＩＶＲ）を提供している。※「自施設で放射線治療を実施している」で「いいえ」とした場合、便宜上「-」を選択してください（未入力チェックのため）。</t>
    <phoneticPr fontId="9"/>
  </si>
  <si>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9"/>
  </si>
  <si>
    <t>（２）のイのウに規定する看護師は、苦痛の把握の支援や専門的緩和ケアの提供に関する調整等、外来・病棟の看護業務を支援・強化する役割を担っている。</t>
    <rPh sb="62" eb="64">
      <t>ヤクワリ</t>
    </rPh>
    <rPh sb="65" eb="66">
      <t>ニナ</t>
    </rPh>
    <phoneticPr fontId="9"/>
  </si>
  <si>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9"/>
  </si>
  <si>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9"/>
  </si>
  <si>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9"/>
  </si>
  <si>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9"/>
  </si>
  <si>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9"/>
  </si>
  <si>
    <t>自施設において、がん・生殖医療に関する意思決定支援を行うことができる診療従事者の配置・育成を行っている。</t>
    <rPh sb="46" eb="47">
      <t>オコナ</t>
    </rPh>
    <phoneticPr fontId="9"/>
  </si>
  <si>
    <t>就学、就労、妊よう性の温存、アピアランスケア等に関する状況や本人の希望についても確認し、自施設もしくは連携施設のがん相談支援センターで対応できる体制を整備している。</t>
    <phoneticPr fontId="9"/>
  </si>
  <si>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9"/>
  </si>
  <si>
    <t>指定要件の箇所</t>
    <rPh sb="0" eb="4">
      <t>シテイヨウケン</t>
    </rPh>
    <rPh sb="5" eb="7">
      <t>カショ</t>
    </rPh>
    <phoneticPr fontId="9"/>
  </si>
  <si>
    <t>緩和ケア病棟について、別紙６に詳細を記載してください。</t>
    <rPh sb="0" eb="2">
      <t>カンワ</t>
    </rPh>
    <rPh sb="4" eb="6">
      <t>ビョウトウ</t>
    </rPh>
    <rPh sb="11" eb="13">
      <t>ベッシ</t>
    </rPh>
    <rPh sb="15" eb="17">
      <t>ショウサイ</t>
    </rPh>
    <rPh sb="18" eb="20">
      <t>キサイ</t>
    </rPh>
    <phoneticPr fontId="9"/>
  </si>
  <si>
    <t>73行目・74行目のいずれかが”はい”の場合のみ、自動的に”はい”が選択されます。</t>
    <rPh sb="25" eb="27">
      <t>ジドウ</t>
    </rPh>
    <rPh sb="27" eb="28">
      <t>テキ</t>
    </rPh>
    <rPh sb="34" eb="36">
      <t>センタク</t>
    </rPh>
    <phoneticPr fontId="9"/>
  </si>
  <si>
    <t>別紙20に詳細を記載してください。</t>
    <phoneticPr fontId="9"/>
  </si>
  <si>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9"/>
  </si>
  <si>
    <t>専門的な知識及び技能を有する医師の配置　</t>
    <phoneticPr fontId="9"/>
  </si>
  <si>
    <t>専任の薬物療法に携わる専門的な知識及び技能を有する常勤の医師の人数</t>
    <rPh sb="1" eb="2">
      <t>ニン</t>
    </rPh>
    <rPh sb="31" eb="33">
      <t>ニンズウ</t>
    </rPh>
    <phoneticPr fontId="9"/>
  </si>
  <si>
    <t>緩和ケアチームに配置されている、身体症状の緩和に携わる専門的な知識及び技能を有する医師の人数</t>
    <rPh sb="8" eb="10">
      <t>ハイチ</t>
    </rPh>
    <rPh sb="44" eb="46">
      <t>ニンズウ</t>
    </rPh>
    <phoneticPr fontId="9"/>
  </si>
  <si>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9"/>
  </si>
  <si>
    <t>※A項目の場合は一人以上の配置が必要です。</t>
    <phoneticPr fontId="9"/>
  </si>
  <si>
    <t>放射線治療部門に配置されている専任の常勤看護師の人数</t>
    <rPh sb="8" eb="10">
      <t>ハイチ</t>
    </rPh>
    <phoneticPr fontId="9"/>
  </si>
  <si>
    <t>※A項目の場合は一人以上の配置が必要です。</t>
    <rPh sb="2" eb="4">
      <t>コウモク</t>
    </rPh>
    <rPh sb="5" eb="7">
      <t>バアイ</t>
    </rPh>
    <phoneticPr fontId="9"/>
  </si>
  <si>
    <t>対応方法や関係機関との連携について、関係職種に情報共有を行う体制を構築している。</t>
    <phoneticPr fontId="9"/>
  </si>
  <si>
    <t>院内がん登録数
（基準：年間200件以上）</t>
    <rPh sb="9" eb="11">
      <t>キジュン</t>
    </rPh>
    <phoneticPr fontId="9"/>
  </si>
  <si>
    <t>悪性腫瘍の手術件数
（基準：年間200件以上）</t>
    <rPh sb="11" eb="13">
      <t>キジュン</t>
    </rPh>
    <phoneticPr fontId="9"/>
  </si>
  <si>
    <t>がんに係る薬物療法のべ患者数
（基準：年間400人以上）</t>
    <rPh sb="16" eb="18">
      <t>キジュン</t>
    </rPh>
    <phoneticPr fontId="9"/>
  </si>
  <si>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9"/>
  </si>
  <si>
    <t>緩和ケアチームの新規介入患者数　　
（基準：年間35人以上）</t>
    <rPh sb="19" eb="21">
      <t>キジュン</t>
    </rPh>
    <phoneticPr fontId="9"/>
  </si>
  <si>
    <t>自施設において、１に掲げる診療体制その他要件に関連する取組のために必要な人材の確保や育成に積極的に取り組んでいる。</t>
    <phoneticPr fontId="9"/>
  </si>
  <si>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9"/>
  </si>
  <si>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9"/>
  </si>
  <si>
    <t>当該相談支援に携わる者のうち１名は、社会福祉士である。
※「がんに関する相談支援に携わる者を複数名配置している。」で「いいえ」とした場合、便宜上「-」を選択してください（未入力チェックのため）。</t>
    <phoneticPr fontId="9"/>
  </si>
  <si>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9"/>
  </si>
  <si>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9"/>
  </si>
  <si>
    <t>がん相談支援センターの相談支援に携わる者は、大阪府の都道府県拠点病院が実施する相談支援に携わる者を対象とした研修を受講している。</t>
    <rPh sb="22" eb="25">
      <t>オオサカフ</t>
    </rPh>
    <phoneticPr fontId="9"/>
  </si>
  <si>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9"/>
  </si>
  <si>
    <t>国立がん研究センターが実施する研修で初級認定者の認定を受けている、専任の院内がん登録の実務を担う者の人数</t>
    <rPh sb="18" eb="19">
      <t>ハツ</t>
    </rPh>
    <rPh sb="33" eb="35">
      <t>センニン</t>
    </rPh>
    <rPh sb="50" eb="52">
      <t>ニンズウ</t>
    </rPh>
    <phoneticPr fontId="9"/>
  </si>
  <si>
    <t>院内がん登録を活用することにより、大阪府の実施するがん対策等に必要な情報を提供している。</t>
    <rPh sb="17" eb="20">
      <t>オオサカフ</t>
    </rPh>
    <phoneticPr fontId="9"/>
  </si>
  <si>
    <t>希少がん、小児がん、ＡＹＡ世代のがん患者への治療及び支援（妊よう性温存療法を含む）やがんゲノム医療についても、自施設で提供できる場合や連携して実施する場合はその旨を広報している。</t>
    <phoneticPr fontId="9"/>
  </si>
  <si>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</si>
  <si>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</si>
  <si>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</si>
  <si>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妊よう性温存療法を自施設もしくは連携する施設への紹介等で提供できる。</t>
    <rPh sb="0" eb="1">
      <t>ニン</t>
    </rPh>
    <rPh sb="3" eb="4">
      <t>セイ</t>
    </rPh>
    <rPh sb="4" eb="6">
      <t>オンゾン</t>
    </rPh>
    <rPh sb="6" eb="8">
      <t>リョウホウ</t>
    </rPh>
    <phoneticPr fontId="9"/>
  </si>
  <si>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</si>
  <si>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</si>
  <si>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別紙19に詳細を記載してください。</t>
    <phoneticPr fontId="9"/>
  </si>
  <si>
    <t>別紙19に詳細を記載してください。
日本医療機能評価機構に加え、JCI、ISO9001の認定も該当する。</t>
    <phoneticPr fontId="9"/>
  </si>
  <si>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9"/>
  </si>
  <si>
    <t>医療機関の年間新入院がん患者数（※１）のうち、当該二次医療圏に居住している者　</t>
    <phoneticPr fontId="9"/>
  </si>
  <si>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9"/>
  </si>
  <si>
    <t>（例）　肺がん</t>
    <rPh sb="1" eb="2">
      <t>レイ</t>
    </rPh>
    <phoneticPr fontId="9"/>
  </si>
  <si>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9"/>
  </si>
  <si>
    <t>時点：</t>
    <rPh sb="0" eb="2">
      <t>ジテン</t>
    </rPh>
    <phoneticPr fontId="8"/>
  </si>
  <si>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9"/>
  </si>
  <si>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9"/>
  </si>
  <si>
    <t>　03-01.　03のうち妊よう性・生殖機能</t>
    <rPh sb="13" eb="14">
      <t>ニン</t>
    </rPh>
    <rPh sb="16" eb="17">
      <t>セイ</t>
    </rPh>
    <rPh sb="18" eb="20">
      <t>セイショク</t>
    </rPh>
    <rPh sb="20" eb="22">
      <t>キノウ</t>
    </rPh>
    <phoneticPr fontId="9"/>
  </si>
  <si>
    <t>職種等</t>
    <rPh sb="0" eb="2">
      <t>ショクシュ</t>
    </rPh>
    <rPh sb="2" eb="3">
      <t>トウ</t>
    </rPh>
    <phoneticPr fontId="9"/>
  </si>
  <si>
    <t>※1 例えば、同一患者が当月中に2回入院した場合は2件とすること。入院した患者がその日のうちに退院あるいは死亡した場合も1日として計上すること。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9" type="Hiragana"/>
  </si>
  <si>
    <t>別紙10、18に詳細を記載してください。</t>
    <phoneticPr fontId="9"/>
  </si>
  <si>
    <t>緩和ケアチームに配置されている、専任の身体症状の緩和に携わる専門的な知識及び技能を有する医師の人数</t>
    <rPh sb="16" eb="18">
      <t>センニン</t>
    </rPh>
    <rPh sb="47" eb="49">
      <t>ニンズウ</t>
    </rPh>
    <phoneticPr fontId="9"/>
  </si>
  <si>
    <t>自施設に精神科はあるが、自施設単体で対応できない場合も回答してください。要件区分が「-」となった場合は、便宜上「-」としてください。</t>
    <phoneticPr fontId="9"/>
  </si>
  <si>
    <t>患者サロン：医療機関や地域の集会場などで開かれる、患者や家族などが、がんのことを気軽に語り合う交流の場をいう。</t>
    <phoneticPr fontId="9"/>
  </si>
  <si>
    <t>診療実績
割合</t>
    <rPh sb="0" eb="2">
      <t>シンリョウ</t>
    </rPh>
    <rPh sb="2" eb="4">
      <t>ジッセキ</t>
    </rPh>
    <rPh sb="5" eb="7">
      <t>ワリアイ</t>
    </rPh>
    <phoneticPr fontId="93"/>
  </si>
  <si>
    <t>院内
がん
登録数
（200件以上）
※150件以上</t>
    <rPh sb="0" eb="2">
      <t>インナイ</t>
    </rPh>
    <rPh sb="6" eb="8">
      <t>トウロク</t>
    </rPh>
    <rPh sb="8" eb="9">
      <t>スウ</t>
    </rPh>
    <rPh sb="14" eb="17">
      <t>ケンイジョウ</t>
    </rPh>
    <rPh sb="23" eb="24">
      <t>ケン</t>
    </rPh>
    <rPh sb="24" eb="26">
      <t>イジョウ</t>
    </rPh>
    <phoneticPr fontId="93"/>
  </si>
  <si>
    <t>悪性腫瘍の手術件数
（200件以上）
※100件以上</t>
    <rPh sb="7" eb="9">
      <t>ケンスウ</t>
    </rPh>
    <rPh sb="14" eb="15">
      <t>ケン</t>
    </rPh>
    <rPh sb="15" eb="17">
      <t>イジョウ</t>
    </rPh>
    <rPh sb="23" eb="26">
      <t>ケンイジョウ</t>
    </rPh>
    <phoneticPr fontId="9"/>
  </si>
  <si>
    <t>がんに係る薬物療法のべ患者数
（400件以上）
※250件以上</t>
    <rPh sb="5" eb="7">
      <t>ヤクブツ</t>
    </rPh>
    <rPh sb="19" eb="20">
      <t>ケン</t>
    </rPh>
    <rPh sb="20" eb="22">
      <t>イジョウ</t>
    </rPh>
    <rPh sb="28" eb="31">
      <t>ケンイジョウ</t>
    </rPh>
    <phoneticPr fontId="93"/>
  </si>
  <si>
    <t>緩和ケアチームの新規介入患者数
（35人以上）</t>
    <rPh sb="19" eb="20">
      <t>ニン</t>
    </rPh>
    <rPh sb="20" eb="22">
      <t>イジョウ</t>
    </rPh>
    <phoneticPr fontId="93"/>
  </si>
  <si>
    <t>当該2次医療圏に居住するがん患者の診療実績の割合
（％）</t>
    <phoneticPr fontId="93"/>
  </si>
  <si>
    <t>大阪大学医学部附属病院</t>
    <rPh sb="0" eb="11">
      <t>オオサk</t>
    </rPh>
    <phoneticPr fontId="93"/>
  </si>
  <si>
    <t>市立豊中病院</t>
    <rPh sb="0" eb="6">
      <t>シリt</t>
    </rPh>
    <phoneticPr fontId="93"/>
  </si>
  <si>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</si>
  <si>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</si>
  <si>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</si>
  <si>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</si>
  <si>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</si>
  <si>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</si>
  <si>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93"/>
  </si>
  <si>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</si>
  <si>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</si>
  <si>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</si>
  <si>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</si>
  <si>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93"/>
  </si>
  <si>
    <t>松下記念病院</t>
  </si>
  <si>
    <t>関西医科大学総合医療センター</t>
  </si>
  <si>
    <t>社会医療法人美杉会　佐藤病院</t>
  </si>
  <si>
    <t>市立ひらかた病院</t>
    <rPh sb="0" eb="2">
      <t>シリツ</t>
    </rPh>
    <rPh sb="6" eb="8">
      <t>ビョウイン</t>
    </rPh>
    <phoneticPr fontId="93"/>
  </si>
  <si>
    <t>市立東大阪医療センター</t>
    <rPh sb="0" eb="7">
      <t>シリツヒガシオオサカイリョウ</t>
    </rPh>
    <phoneticPr fontId="93"/>
  </si>
  <si>
    <t>八尾市立病院</t>
    <rPh sb="0" eb="6">
      <t>ヤ</t>
    </rPh>
    <phoneticPr fontId="93"/>
  </si>
  <si>
    <t>医療法人徳洲会　八尾徳洲会総合病院</t>
  </si>
  <si>
    <t>若草第一病院</t>
    <rPh sb="0" eb="2">
      <t>ワカクサ</t>
    </rPh>
    <rPh sb="2" eb="4">
      <t>ダイイチ</t>
    </rPh>
    <rPh sb="4" eb="6">
      <t>ビョウイン</t>
    </rPh>
    <phoneticPr fontId="32"/>
  </si>
  <si>
    <t>医療法人　藤井会　石切生喜病院</t>
  </si>
  <si>
    <t>柏原市立柏原病院</t>
  </si>
  <si>
    <t>近畿大学病院</t>
    <rPh sb="0" eb="2">
      <t>キンキ</t>
    </rPh>
    <rPh sb="2" eb="4">
      <t>ダイガク</t>
    </rPh>
    <rPh sb="4" eb="6">
      <t>ビョウイン</t>
    </rPh>
    <phoneticPr fontId="32"/>
  </si>
  <si>
    <t>大阪南医療センター</t>
    <rPh sb="0" eb="9">
      <t>オオサk</t>
    </rPh>
    <phoneticPr fontId="32"/>
  </si>
  <si>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</si>
  <si>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</si>
  <si>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</si>
  <si>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</si>
  <si>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</si>
  <si>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93"/>
  </si>
  <si>
    <t>堺市立総合医療センター</t>
    <rPh sb="0" eb="11">
      <t>サカ</t>
    </rPh>
    <phoneticPr fontId="93"/>
  </si>
  <si>
    <t>社会医療法人生長会ベルランド総合病院</t>
  </si>
  <si>
    <t>社会医療法人同仁会　耳原総合病院</t>
  </si>
  <si>
    <t>独立行政法人国立病院機構　近畿中央呼吸器センター</t>
  </si>
  <si>
    <t>市立岸和田市民病院</t>
    <rPh sb="0" eb="9">
      <t>シリt</t>
    </rPh>
    <phoneticPr fontId="93"/>
  </si>
  <si>
    <t>和泉市立総合医療センター</t>
    <rPh sb="0" eb="8">
      <t>イズミシリツソウゴウイリョウ</t>
    </rPh>
    <phoneticPr fontId="32"/>
  </si>
  <si>
    <t>社会医療法人　生長会　府中病院</t>
  </si>
  <si>
    <t>りんくう総合医療センター</t>
    <rPh sb="4" eb="6">
      <t>ソウゴウ</t>
    </rPh>
    <rPh sb="6" eb="8">
      <t>イリョウ</t>
    </rPh>
    <phoneticPr fontId="32"/>
  </si>
  <si>
    <t>市立貝塚病院</t>
  </si>
  <si>
    <t>岸和田徳洲会病院</t>
    <rPh sb="0" eb="3">
      <t>キシワダ</t>
    </rPh>
    <rPh sb="3" eb="6">
      <t>トクシュウカイ</t>
    </rPh>
    <rPh sb="6" eb="8">
      <t>ビョウイン</t>
    </rPh>
    <phoneticPr fontId="32"/>
  </si>
  <si>
    <t>大阪国際がんセンター</t>
    <rPh sb="0" eb="2">
      <t>オオサカ</t>
    </rPh>
    <rPh sb="2" eb="4">
      <t>コクサイ</t>
    </rPh>
    <phoneticPr fontId="93"/>
  </si>
  <si>
    <t>大阪公立大学医学部付属病院</t>
    <rPh sb="0" eb="2">
      <t>オオサカ</t>
    </rPh>
    <rPh sb="2" eb="4">
      <t>コウリツ</t>
    </rPh>
    <rPh sb="4" eb="6">
      <t>ダイガク</t>
    </rPh>
    <rPh sb="6" eb="8">
      <t>イガク</t>
    </rPh>
    <rPh sb="8" eb="9">
      <t>ブ</t>
    </rPh>
    <rPh sb="9" eb="11">
      <t>フゾク</t>
    </rPh>
    <rPh sb="11" eb="13">
      <t>ビョウイン</t>
    </rPh>
    <phoneticPr fontId="93"/>
  </si>
  <si>
    <t>大阪市立総合医療センター</t>
    <rPh sb="0" eb="12">
      <t>オオサk</t>
    </rPh>
    <phoneticPr fontId="93"/>
  </si>
  <si>
    <t>大阪赤十字病院</t>
    <rPh sb="0" eb="7">
      <t>オオサk</t>
    </rPh>
    <phoneticPr fontId="93"/>
  </si>
  <si>
    <t>大阪医療センター</t>
    <rPh sb="0" eb="8">
      <t>オオサk</t>
    </rPh>
    <phoneticPr fontId="93"/>
  </si>
  <si>
    <t>大阪急性期・総合医療センター</t>
    <rPh sb="0" eb="2">
      <t>オオサカ</t>
    </rPh>
    <rPh sb="2" eb="5">
      <t>キュウセイキ</t>
    </rPh>
    <rPh sb="6" eb="8">
      <t>ソウゴウ</t>
    </rPh>
    <rPh sb="8" eb="10">
      <t>イリョウ</t>
    </rPh>
    <phoneticPr fontId="93"/>
  </si>
  <si>
    <t>社会医療法人警和会　大阪警察病院</t>
  </si>
  <si>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</si>
  <si>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</si>
  <si>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</si>
  <si>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</si>
  <si>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</si>
  <si>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</si>
  <si>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</si>
  <si>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</si>
  <si>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</si>
  <si>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</si>
  <si>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</si>
  <si>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</si>
  <si>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</si>
  <si>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</si>
  <si>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社会福祉法人恩賜財団済生会支部大阪府済生会泉尾病院</t>
  </si>
  <si>
    <t>十三市民病院</t>
    <rPh sb="0" eb="2">
      <t>ジュウソウ</t>
    </rPh>
    <rPh sb="2" eb="4">
      <t>シミン</t>
    </rPh>
    <rPh sb="4" eb="6">
      <t>ビョウイン</t>
    </rPh>
    <phoneticPr fontId="93"/>
  </si>
  <si>
    <t>診療実績とりまとめ</t>
    <rPh sb="0" eb="4">
      <t>シンリョウジッセキ</t>
    </rPh>
    <phoneticPr fontId="9"/>
  </si>
  <si>
    <t>令和６年９月１日時点について記載</t>
    <phoneticPr fontId="9" type="Hiragana"/>
  </si>
  <si>
    <t>令和６年９月１日時点</t>
    <phoneticPr fontId="9"/>
  </si>
  <si>
    <t>※様式4（機能別）の該当指定要件のAのうち満たしていない項目について、満たしていない項目とその理由と今後の見通し等について具体的に記載してください。
※令和６年９月２日以降に、要件の充足状況に変動があった場合には、別途、文書で大阪府へ届け出てください。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9"/>
  </si>
  <si>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9"/>
  </si>
  <si>
    <t>　　　　　　　　　　   期間：令和５年１月１日～12月31日</t>
    <phoneticPr fontId="9"/>
  </si>
  <si>
    <t>令和5年１月１日～令和5年12月31日の期間の開催件数</t>
    <phoneticPr fontId="9"/>
  </si>
  <si>
    <t>■地域連携を推進するための、地域の役割分担に関する多施設合同会議の開催状況について記載してください。
（期間：令和5年1月1日～令和5年12月31日）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9"/>
  </si>
  <si>
    <t>令和５年１月１日～令和５年12月31日</t>
    <phoneticPr fontId="70"/>
  </si>
  <si>
    <t>令和６年９月１日時点の状況</t>
    <rPh sb="0" eb="2">
      <t>レイワ</t>
    </rPh>
    <rPh sb="3" eb="4">
      <t>ネン</t>
    </rPh>
    <rPh sb="5" eb="6">
      <t>ガツ</t>
    </rPh>
    <rPh sb="7" eb="8">
      <t>ニチ</t>
    </rPh>
    <rPh sb="8" eb="10">
      <t>ジテン</t>
    </rPh>
    <rPh sb="11" eb="13">
      <t>ジョウキョウ</t>
    </rPh>
    <phoneticPr fontId="9"/>
  </si>
  <si>
    <t>大阪府がん診療拠点病院等　現況報告書</t>
    <rPh sb="0" eb="3">
      <t>おおさかふ</t>
    </rPh>
    <rPh sb="11" eb="12">
      <t>など</t>
    </rPh>
    <phoneticPr fontId="9" type="Hiragana"/>
  </si>
  <si>
    <t>第三者の名称※該当なしの場合は、「-」を選択してください。</t>
    <rPh sb="0" eb="3">
      <t>ダイサンシャ</t>
    </rPh>
    <rPh sb="4" eb="6">
      <t>メイショウ</t>
    </rPh>
    <rPh sb="7" eb="9">
      <t>ガイトウ</t>
    </rPh>
    <rPh sb="12" eb="14">
      <t>バアイ</t>
    </rPh>
    <rPh sb="20" eb="22">
      <t>センタク</t>
    </rPh>
    <phoneticPr fontId="9"/>
  </si>
  <si>
    <t>直近で評価を受けたタイミング（YYYY/MM、例：202209）※該当なしの場合は、「-」と記載してください。</t>
    <rPh sb="0" eb="2">
      <t>チョッキン</t>
    </rPh>
    <rPh sb="3" eb="5">
      <t>ヒョウカ</t>
    </rPh>
    <rPh sb="6" eb="7">
      <t>ウ</t>
    </rPh>
    <rPh sb="46" eb="48">
      <t>キサイ</t>
    </rPh>
    <phoneticPr fontId="9"/>
  </si>
  <si>
    <t>地域の定義としては少なくとも市民を含むこと。
令和５年１月１日～令和５年12月31日の期間の件数を記載してください。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9"/>
  </si>
  <si>
    <t>令和６年９月１日時点では専任の医師は配置できていない（兼任で配置している）。</t>
    <rPh sb="3" eb="4">
      <t>ネン</t>
    </rPh>
    <phoneticPr fontId="9"/>
  </si>
  <si>
    <t>令和７年２月１日段階での整備を行う予定である。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9"/>
  </si>
  <si>
    <t>令和６年９月１日時点で満たせていない要件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9"/>
  </si>
  <si>
    <t>2023年</t>
    <rPh sb="4" eb="5">
      <t>ネン</t>
    </rPh>
    <phoneticPr fontId="70"/>
  </si>
  <si>
    <t>別紙22</t>
    <rPh sb="0" eb="2">
      <t>ベッシ</t>
    </rPh>
    <phoneticPr fontId="9"/>
  </si>
  <si>
    <t>（期間：令和５年１月１日～令和５年12月31日）</t>
    <phoneticPr fontId="9" type="Hiragana"/>
  </si>
  <si>
    <t>(７)各治療の状況について</t>
    <rPh sb="3" eb="6">
      <t>カクチリョウ</t>
    </rPh>
    <rPh sb="7" eb="9">
      <t>ジョウキョウ</t>
    </rPh>
    <phoneticPr fontId="9"/>
  </si>
  <si>
    <t>大腸がん・肺がん・胃がん・乳がん・前立腺がん・肝胆膵がんに関する悪性腫瘍の手術件数（令和５年１月１日～令和５年12月31日）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9"/>
  </si>
  <si>
    <t>全てのがんを対象としたのべ患者数　（令和５年1月1日～令和５年12月31日の間に放射線治療を開始した患者数）</t>
    <phoneticPr fontId="9"/>
  </si>
  <si>
    <t>肺がん・胃がん・肝がん・大腸がん・乳がん・前立腺がん・胆膵がんを対象としたのべ患者数　（令和５年１月１日～令和５年12月31日の間に放射線治療を開始した患者数）</t>
    <rPh sb="8" eb="9">
      <t>カン</t>
    </rPh>
    <rPh sb="12" eb="14">
      <t>ダイチョウ</t>
    </rPh>
    <rPh sb="39" eb="41">
      <t>カンジャ</t>
    </rPh>
    <rPh sb="41" eb="42">
      <t>スウ</t>
    </rPh>
    <phoneticPr fontId="9"/>
  </si>
  <si>
    <t>緩和ケアチームに対する新規診療症例の状況（重複可）（令和５年1月1日～令和５年12月31日）</t>
    <phoneticPr fontId="9" type="Hiragana"/>
  </si>
  <si>
    <t>自施設で実施したがんの治療に際する妊よう性温存治療の状況（令和５年１月１日～令和５年12月31日）</t>
    <rPh sb="0" eb="1">
      <t>じ</t>
    </rPh>
    <rPh sb="1" eb="3">
      <t>しせつ</t>
    </rPh>
    <rPh sb="4" eb="6">
      <t>じっし</t>
    </rPh>
    <rPh sb="26" eb="28">
      <t>じょうきょう</t>
    </rPh>
    <rPh sb="34" eb="35">
      <t>がつ</t>
    </rPh>
    <rPh sb="36" eb="37">
      <t>にち</t>
    </rPh>
    <rPh sb="44" eb="45">
      <t>がつ</t>
    </rPh>
    <rPh sb="47" eb="48">
      <t>にち</t>
    </rPh>
    <phoneticPr fontId="9" type="Hiragana"/>
  </si>
  <si>
    <t>がんの治療に際する妊よう性温存目的で精子凍結を行った患者の人数</t>
    <rPh sb="20" eb="22">
      <t>とうけつ</t>
    </rPh>
    <phoneticPr fontId="9" type="Hiragana"/>
  </si>
  <si>
    <t>計上方法：経口、静注または皮下注射による全身投与を対象とする。ただし内分泌療法単独の場合は含めない。なお、患者数については1レジメンあたりを1人として計上する。</t>
    <phoneticPr fontId="9"/>
  </si>
  <si>
    <t>緩和ケアチームのメンバーと活動</t>
    <rPh sb="0" eb="2">
      <t>カンワ</t>
    </rPh>
    <rPh sb="13" eb="15">
      <t>カツドウ</t>
    </rPh>
    <phoneticPr fontId="9"/>
  </si>
  <si>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9"/>
  </si>
  <si>
    <t>病棟ラウンドの頻度</t>
    <rPh sb="0" eb="2">
      <t>ビョウトウ</t>
    </rPh>
    <rPh sb="7" eb="9">
      <t>ヒンド</t>
    </rPh>
    <phoneticPr fontId="9"/>
  </si>
  <si>
    <t>カンファレンスの頻度</t>
    <rPh sb="8" eb="10">
      <t>ヒンド</t>
    </rPh>
    <phoneticPr fontId="9"/>
  </si>
  <si>
    <t>緩和ケアチームの活動内容について記載してください。</t>
    <rPh sb="0" eb="2">
      <t>カンワ</t>
    </rPh>
    <rPh sb="8" eb="10">
      <t>カツドウ</t>
    </rPh>
    <rPh sb="10" eb="12">
      <t>ナイヨウ</t>
    </rPh>
    <rPh sb="16" eb="18">
      <t>キサイ</t>
    </rPh>
    <phoneticPr fontId="9"/>
  </si>
  <si>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9"/>
  </si>
  <si>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9"/>
  </si>
  <si>
    <t>↓どれかに専門／対応可としたときは公開</t>
    <rPh sb="7" eb="9">
      <t>タイオウ</t>
    </rPh>
    <rPh sb="17" eb="19">
      <t>コウカイ</t>
    </rPh>
    <phoneticPr fontId="70"/>
  </si>
  <si>
    <t>緩和ケアチームのメンバーと活動</t>
    <rPh sb="13" eb="15">
      <t>カツドウ</t>
    </rPh>
    <phoneticPr fontId="9"/>
  </si>
  <si>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9"/>
  </si>
  <si>
    <t>肺がんについて専門的な知識及び技能を有する手術療法に携わる常勤の医師の人数</t>
    <phoneticPr fontId="9"/>
  </si>
  <si>
    <t>胃がんについて専門的な知識及び技能を有する手術療法に携わる常勤の医師の人数</t>
    <phoneticPr fontId="9"/>
  </si>
  <si>
    <t>肝がんについて専門的な知識及び技能を有する手術療法に携わる常勤の医師の人数</t>
    <phoneticPr fontId="9"/>
  </si>
  <si>
    <t>大腸がんについて専門的な知識及び技能を有する手術療法に携わる常勤の医師の人数</t>
    <phoneticPr fontId="9"/>
  </si>
  <si>
    <t>乳がんについて専門的な知識及び技能を有する手術療法に携わる常勤の医師の人数</t>
    <phoneticPr fontId="9"/>
  </si>
  <si>
    <t>１．指定区分</t>
    <rPh sb="2" eb="6">
      <t>シテイクブン</t>
    </rPh>
    <phoneticPr fontId="9"/>
  </si>
  <si>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9"/>
  </si>
  <si>
    <t>　②がん患者の妊よう性温存のための生殖医療</t>
    <rPh sb="4" eb="6">
      <t>カンジャ</t>
    </rPh>
    <rPh sb="11" eb="13">
      <t>オンゾン</t>
    </rPh>
    <rPh sb="17" eb="19">
      <t>セイショク</t>
    </rPh>
    <rPh sb="19" eb="21">
      <t>イリョウ</t>
    </rPh>
    <phoneticPr fontId="9"/>
  </si>
  <si>
    <t>　　　②-1がん患者の妊よう性温存のための生殖医療を専門とする自施設内の部門へ紹介した患者の人数</t>
    <rPh sb="31" eb="32">
      <t>ジ</t>
    </rPh>
    <rPh sb="34" eb="35">
      <t>ウチ</t>
    </rPh>
    <rPh sb="36" eb="38">
      <t>ブモン</t>
    </rPh>
    <phoneticPr fontId="9"/>
  </si>
  <si>
    <t>　　　②-2がん患者の妊よう性温存のための生殖医療を専門とする他施設へ紹介した患者の人数</t>
    <rPh sb="31" eb="32">
      <t>ホカ</t>
    </rPh>
    <phoneticPr fontId="9"/>
  </si>
  <si>
    <t>（期間：令和５年１月１日～12月31日）</t>
    <phoneticPr fontId="9"/>
  </si>
  <si>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9"/>
  </si>
  <si>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9"/>
  </si>
  <si>
    <t>・緊急緩和ケア病床の入院患者数（令和５年１月１日～令和５年12月31日）</t>
    <phoneticPr fontId="9"/>
  </si>
  <si>
    <t>・がんの難治性疼痛に対する神経ブロックの提供実施延べ人数（令和５年１月１日～令和５年12月31日）</t>
    <phoneticPr fontId="9"/>
  </si>
  <si>
    <t>令和５年１月１日～令和５年12月31日</t>
    <phoneticPr fontId="9"/>
  </si>
  <si>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9"/>
  </si>
  <si>
    <t>344又は348が"はい"の場合は要件区分がAになります。</t>
    <rPh sb="3" eb="4">
      <t>マタ</t>
    </rPh>
    <phoneticPr fontId="9"/>
  </si>
  <si>
    <t>348が"はい"の場合は要件区分がAになります。</t>
    <phoneticPr fontId="9"/>
  </si>
  <si>
    <t>344が"はい"の場合は要件区分がCになります。</t>
    <phoneticPr fontId="9"/>
  </si>
  <si>
    <t>緩和ケア病棟の年間新入院患者数（令和５年１月１日～令和５年12月31日）</t>
    <phoneticPr fontId="9"/>
  </si>
  <si>
    <t>緩和ケア病棟の年間死亡患者数（令和５年１月１日～令和５年12月31日）</t>
    <phoneticPr fontId="9"/>
  </si>
  <si>
    <t>令和７年４月１日以降指定を希望する区分</t>
    <phoneticPr fontId="9"/>
  </si>
  <si>
    <t>回開催（期間：令和５年１月１日～令和５年12月31日）</t>
    <phoneticPr fontId="9" type="Hiragana"/>
  </si>
  <si>
    <t>令和６年９月１日時点で指定を受けている類型を選択してください。</t>
    <phoneticPr fontId="9" type="Hiragana"/>
  </si>
  <si>
    <t>令和７年４月１日以降指定を希望する区分を選択してください。</t>
    <phoneticPr fontId="9" type="Hiragana"/>
  </si>
  <si>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9" type="Hiragana"/>
  </si>
  <si>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■診断あるいはいずれかの治療について、「専門◎」あるいは「対応可〇」と記載した場合は、2022年、2023年の治療開始数（院内がん登録の、症例区分20,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70"/>
  </si>
  <si>
    <t>開催回数
（令和５年1月1日～令和５年12月31日）</t>
    <rPh sb="0" eb="2">
      <t>カイサイ</t>
    </rPh>
    <rPh sb="2" eb="4">
      <t>カイスウ</t>
    </rPh>
    <rPh sb="6" eb="8">
      <t>レイワ</t>
    </rPh>
    <phoneticPr fontId="9"/>
  </si>
  <si>
    <t>番号</t>
    <rPh sb="0" eb="2">
      <t>バンゴウ</t>
    </rPh>
    <phoneticPr fontId="9"/>
  </si>
  <si>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9"/>
  </si>
  <si>
    <t>令和５年１月１日～12月31日の期間に実施した研修のうち、代表的な内容を一つ記載してください。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9"/>
  </si>
  <si>
    <t>令和５年１月１日～12月31日の開催回数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9"/>
  </si>
  <si>
    <t>期間：令和５年１月１日～12月31日</t>
    <phoneticPr fontId="9"/>
  </si>
  <si>
    <t>以下の基準をそれぞれ満たしている。（期間：令和５年１月１日～12月31日）</t>
    <phoneticPr fontId="9"/>
  </si>
  <si>
    <t>令和６年９月１日時点で自施設に所属する初期臨床研修医の人数</t>
    <phoneticPr fontId="9"/>
  </si>
  <si>
    <t>がん患者に対するB-010 診療情報提供書（II）の算定件数　（期間：令和５年１月１日～12月31日）※0件の場合は「0」と記載してください。（未入力チェックのため）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9"/>
  </si>
  <si>
    <t>パナソニック健康保険組合　松下記念病院</t>
    <phoneticPr fontId="9"/>
  </si>
  <si>
    <t>06-6992-1231</t>
    <phoneticPr fontId="9"/>
  </si>
  <si>
    <t>大阪府がん診療拠点病院</t>
  </si>
  <si>
    <t>ぱなそにっくけんこうほけんくみあい　まつしたきねんびょういん</t>
    <phoneticPr fontId="9" type="Hiragana"/>
  </si>
  <si>
    <t>570-8540</t>
  </si>
  <si>
    <t>大阪府</t>
  </si>
  <si>
    <t>守口市外島町5-55</t>
    <rPh sb="0" eb="3">
      <t>もりぐちし</t>
    </rPh>
    <rPh sb="3" eb="6">
      <t>そとじまちょう</t>
    </rPh>
    <phoneticPr fontId="9" type="Hiragana"/>
  </si>
  <si>
    <t>もりぐちしそとじまちょう5-55</t>
    <phoneticPr fontId="9" type="Hiragana"/>
  </si>
  <si>
    <t>06-6992-1231</t>
    <phoneticPr fontId="9" type="Hiragana"/>
  </si>
  <si>
    <t>06-6992-4845</t>
    <phoneticPr fontId="9" type="Hiragana"/>
  </si>
  <si>
    <t>-</t>
    <phoneticPr fontId="9" type="Hiragana"/>
  </si>
  <si>
    <t>https://kenpo.jpn.panasonic.com/kinen/</t>
    <phoneticPr fontId="9" type="Hiragana"/>
  </si>
  <si>
    <t>北河内</t>
    <rPh sb="0" eb="3">
      <t>きたかわち</t>
    </rPh>
    <phoneticPr fontId="9" type="Hiragana"/>
  </si>
  <si>
    <t>可</t>
  </si>
  <si>
    <t>あり</t>
  </si>
  <si>
    <t>はい</t>
  </si>
  <si>
    <t>いいえ</t>
  </si>
  <si>
    <t>なし</t>
    <phoneticPr fontId="9"/>
  </si>
  <si>
    <t>医用原子力技術研究振興財団</t>
    <rPh sb="0" eb="2">
      <t>イヨウ</t>
    </rPh>
    <rPh sb="2" eb="5">
      <t>ゲンシリョク</t>
    </rPh>
    <rPh sb="5" eb="7">
      <t>ギジュツ</t>
    </rPh>
    <rPh sb="7" eb="9">
      <t>ケンキュウ</t>
    </rPh>
    <rPh sb="9" eb="11">
      <t>シンコウ</t>
    </rPh>
    <rPh sb="11" eb="13">
      <t>ザイダン</t>
    </rPh>
    <phoneticPr fontId="9"/>
  </si>
  <si>
    <t>医療機関のWebサイトに掲載</t>
    <phoneticPr fontId="9"/>
  </si>
  <si>
    <t>放射線治療品質管理士2名</t>
    <phoneticPr fontId="9"/>
  </si>
  <si>
    <t>医療機関のwebサイトに掲載</t>
    <phoneticPr fontId="9"/>
  </si>
  <si>
    <t>がん相談支援センターについて</t>
    <rPh sb="2" eb="4">
      <t>ソウダン</t>
    </rPh>
    <rPh sb="4" eb="6">
      <t>シエン</t>
    </rPh>
    <phoneticPr fontId="9"/>
  </si>
  <si>
    <t>ACP支援</t>
    <rPh sb="3" eb="5">
      <t>シエン</t>
    </rPh>
    <phoneticPr fontId="9"/>
  </si>
  <si>
    <t>ホームページに掲載</t>
    <rPh sb="7" eb="9">
      <t>ケイサイ</t>
    </rPh>
    <phoneticPr fontId="9"/>
  </si>
  <si>
    <t>適切な機関に紹介</t>
  </si>
  <si>
    <t>自施設で対応</t>
  </si>
  <si>
    <t>WEBサイト</t>
    <phoneticPr fontId="9"/>
  </si>
  <si>
    <t>ホームページに掲載</t>
    <phoneticPr fontId="9"/>
  </si>
  <si>
    <t>医療機関のWebサイトに掲載</t>
    <rPh sb="0" eb="4">
      <t>イリョウキカン</t>
    </rPh>
    <rPh sb="12" eb="14">
      <t>ケイサイ</t>
    </rPh>
    <phoneticPr fontId="9"/>
  </si>
  <si>
    <t>医療機関のWebサイトに掲載</t>
    <rPh sb="0" eb="2">
      <t>イリョウ</t>
    </rPh>
    <rPh sb="2" eb="4">
      <t>キカン</t>
    </rPh>
    <rPh sb="12" eb="14">
      <t>ケイサイ</t>
    </rPh>
    <phoneticPr fontId="9"/>
  </si>
  <si>
    <t>日本医療機能評価機構 病院機能評価</t>
  </si>
  <si>
    <t>△</t>
  </si>
  <si>
    <t>◎</t>
  </si>
  <si>
    <t>○</t>
    <phoneticPr fontId="70"/>
  </si>
  <si>
    <t>無</t>
  </si>
  <si>
    <t>有</t>
  </si>
  <si>
    <t>無</t>
    <phoneticPr fontId="70"/>
  </si>
  <si>
    <t>無</t>
    <rPh sb="0" eb="1">
      <t>ナ</t>
    </rPh>
    <phoneticPr fontId="70"/>
  </si>
  <si>
    <t>血液内科・放射線治療科</t>
    <rPh sb="0" eb="4">
      <t>ケツエキナイカ</t>
    </rPh>
    <rPh sb="5" eb="10">
      <t>ホウシャセンチリョウ</t>
    </rPh>
    <rPh sb="10" eb="11">
      <t>カ</t>
    </rPh>
    <phoneticPr fontId="70"/>
  </si>
  <si>
    <t>整形外科・放射線治療科</t>
    <rPh sb="0" eb="4">
      <t>セイケイゲカ</t>
    </rPh>
    <phoneticPr fontId="70"/>
  </si>
  <si>
    <t>髄内腫瘍は対応不可</t>
    <phoneticPr fontId="70"/>
  </si>
  <si>
    <t>耳鼻咽喉科</t>
    <rPh sb="0" eb="5">
      <t>ジビインコウカ</t>
    </rPh>
    <phoneticPr fontId="70"/>
  </si>
  <si>
    <t>乳腺外科</t>
    <rPh sb="0" eb="4">
      <t>ニュウセンゲカ</t>
    </rPh>
    <phoneticPr fontId="70"/>
  </si>
  <si>
    <t>呼吸器外科・放射線治療科</t>
    <rPh sb="0" eb="5">
      <t>コキュウキゲカ</t>
    </rPh>
    <rPh sb="6" eb="9">
      <t>ホウシャセン</t>
    </rPh>
    <rPh sb="9" eb="11">
      <t>チリョウ</t>
    </rPh>
    <rPh sb="11" eb="12">
      <t>カ</t>
    </rPh>
    <phoneticPr fontId="70"/>
  </si>
  <si>
    <t>呼吸器内科・呼吸器外科・放射線治療科</t>
    <rPh sb="0" eb="5">
      <t>コキュウキナイカ</t>
    </rPh>
    <rPh sb="6" eb="11">
      <t>コキュウキゲカ</t>
    </rPh>
    <rPh sb="12" eb="15">
      <t>ホウシャセン</t>
    </rPh>
    <rPh sb="15" eb="17">
      <t>チリョウ</t>
    </rPh>
    <rPh sb="17" eb="18">
      <t>カ</t>
    </rPh>
    <phoneticPr fontId="70"/>
  </si>
  <si>
    <t>呼吸器外科</t>
    <rPh sb="0" eb="5">
      <t>コキュウキゲカ</t>
    </rPh>
    <phoneticPr fontId="70"/>
  </si>
  <si>
    <t>呼吸器外科・放射線治療科</t>
    <rPh sb="0" eb="5">
      <t>コキュウキゲカ</t>
    </rPh>
    <phoneticPr fontId="70"/>
  </si>
  <si>
    <t>呼吸器内科・呼吸器外科・放射線治療科</t>
    <rPh sb="0" eb="5">
      <t>コキュウキナイカ</t>
    </rPh>
    <rPh sb="6" eb="11">
      <t>コキュウキゲカ</t>
    </rPh>
    <phoneticPr fontId="70"/>
  </si>
  <si>
    <t>消化器外科・消化器内科・放射線治療科</t>
    <rPh sb="0" eb="3">
      <t>ショウカキ</t>
    </rPh>
    <rPh sb="3" eb="5">
      <t>ゲカ</t>
    </rPh>
    <phoneticPr fontId="70"/>
  </si>
  <si>
    <t>消化器外科・消化器内科</t>
    <rPh sb="0" eb="3">
      <t>ショウカキ</t>
    </rPh>
    <rPh sb="3" eb="5">
      <t>ゲカ</t>
    </rPh>
    <phoneticPr fontId="70"/>
  </si>
  <si>
    <t>消化器外科・泌尿器科・放射線治療科</t>
    <rPh sb="0" eb="3">
      <t>ショウカキ</t>
    </rPh>
    <rPh sb="3" eb="5">
      <t>ゲカ</t>
    </rPh>
    <rPh sb="6" eb="10">
      <t>ヒニョウキカ</t>
    </rPh>
    <phoneticPr fontId="70"/>
  </si>
  <si>
    <t>泌尿器科・放射線治療科</t>
    <rPh sb="0" eb="4">
      <t>ヒニョウキカ</t>
    </rPh>
    <phoneticPr fontId="70"/>
  </si>
  <si>
    <t>放射線治療科</t>
    <phoneticPr fontId="70"/>
  </si>
  <si>
    <t>皮膚科</t>
    <rPh sb="0" eb="3">
      <t>ヒフカ</t>
    </rPh>
    <phoneticPr fontId="70"/>
  </si>
  <si>
    <t>血液内科、放射線治療科</t>
    <rPh sb="0" eb="4">
      <t>ケツエキナイカ</t>
    </rPh>
    <rPh sb="5" eb="11">
      <t>ホウシャセンチリョウカ</t>
    </rPh>
    <phoneticPr fontId="70"/>
  </si>
  <si>
    <t>消化器内科　消化器外科</t>
    <rPh sb="0" eb="5">
      <t>ショウカキナイカ</t>
    </rPh>
    <rPh sb="6" eb="11">
      <t>ショウカキゲカ</t>
    </rPh>
    <phoneticPr fontId="70"/>
  </si>
  <si>
    <t>検討している症例・テーマ：　　　　　　　　　　　　　　　　　　　　　　　　　　　　　　　　　　　　　　　　　　　　　　　　　　　　　　　　　　　　　　　　　　　　　　　　　　　　　　　　　　　　　　　　認知力低下があり代理決定者もいない患者の治療方針の検討など　　　　　　　　　　　　　　　　　　　　　　　　　　　　　　　　　　　　　　　　　　　　　　　　　　　　　　　　　　　　　　　　　　　　　　　　　　　　　　　　　　　　　　　　　　　　　　　　　　　　　　　　　　　　　　　　　　　　　　　　　　　　　　　　　　　　　　　　　　　　　　　　　　　　　　　　　　　　　　　　　　　　　　　　　　　　　　　　　　　　　　　　　　　　　　　　　　　　　　　　　　　　　　　　　　　　　　　　　　　　　　　　　　　　　　　　　　　　　　　　　　　　　　　　　　　　　　　　　　　　　　　　　　　　　　　　　　　　　　　　　　　　　　　　　　　　　　　　　　　　　　　　　　　　　　参加している職種：主治医、主治医以外の医師、看護師、MSW、医療安全管理者、薬剤師、理学療法士、医療メディエーター、事務</t>
    <rPh sb="0" eb="2">
      <t>ケントウ</t>
    </rPh>
    <rPh sb="6" eb="8">
      <t>ショウレイ</t>
    </rPh>
    <rPh sb="101" eb="104">
      <t>ニンチリョク</t>
    </rPh>
    <rPh sb="104" eb="106">
      <t>テイカ</t>
    </rPh>
    <rPh sb="109" eb="111">
      <t>ダイリ</t>
    </rPh>
    <rPh sb="111" eb="113">
      <t>ケッテイ</t>
    </rPh>
    <rPh sb="113" eb="114">
      <t>シャ</t>
    </rPh>
    <rPh sb="118" eb="120">
      <t>カンジャ</t>
    </rPh>
    <rPh sb="121" eb="125">
      <t>チリョウホウシン</t>
    </rPh>
    <rPh sb="126" eb="128">
      <t>ケントウ</t>
    </rPh>
    <rPh sb="440" eb="442">
      <t>サンカ</t>
    </rPh>
    <rPh sb="446" eb="448">
      <t>ショクシュ</t>
    </rPh>
    <rPh sb="449" eb="452">
      <t>シュジイ</t>
    </rPh>
    <rPh sb="453" eb="456">
      <t>シュジイ</t>
    </rPh>
    <rPh sb="456" eb="458">
      <t>イガイ</t>
    </rPh>
    <rPh sb="459" eb="461">
      <t>イシ</t>
    </rPh>
    <rPh sb="462" eb="465">
      <t>カンゴシ</t>
    </rPh>
    <rPh sb="470" eb="472">
      <t>イリョウ</t>
    </rPh>
    <rPh sb="472" eb="474">
      <t>アンゼン</t>
    </rPh>
    <rPh sb="474" eb="477">
      <t>カンリシャ</t>
    </rPh>
    <rPh sb="478" eb="481">
      <t>ヤクザイシ</t>
    </rPh>
    <rPh sb="482" eb="487">
      <t>リガクリョウホウシ</t>
    </rPh>
    <rPh sb="488" eb="490">
      <t>イリョウ</t>
    </rPh>
    <rPh sb="498" eb="500">
      <t>ジム</t>
    </rPh>
    <phoneticPr fontId="9"/>
  </si>
  <si>
    <t>緩和ケア外来</t>
    <rPh sb="0" eb="2">
      <t>カンワ</t>
    </rPh>
    <rPh sb="4" eb="6">
      <t>ガイライ</t>
    </rPh>
    <phoneticPr fontId="9"/>
  </si>
  <si>
    <t>緩和ケア内科</t>
    <rPh sb="0" eb="2">
      <t>カンワ</t>
    </rPh>
    <rPh sb="4" eb="6">
      <t>ナイカ</t>
    </rPh>
    <phoneticPr fontId="9"/>
  </si>
  <si>
    <t>３回/週</t>
    <rPh sb="1" eb="2">
      <t>カイ</t>
    </rPh>
    <rPh sb="3" eb="4">
      <t>シュウ</t>
    </rPh>
    <phoneticPr fontId="9"/>
  </si>
  <si>
    <t>緩和ケア病棟面談及び通院患者の症状緩和を各科診療科と連携し行っている</t>
  </si>
  <si>
    <t>緩和ケア内科</t>
    <rPh sb="4" eb="6">
      <t>ナイカ</t>
    </rPh>
    <phoneticPr fontId="9"/>
  </si>
  <si>
    <t>https://kenpo.jpn.panasonic.com/kinen/department/palliative.html</t>
    <phoneticPr fontId="9"/>
  </si>
  <si>
    <t>がん相談支援室</t>
    <rPh sb="2" eb="4">
      <t>ソウダン</t>
    </rPh>
    <rPh sb="4" eb="7">
      <t>シエンシツ</t>
    </rPh>
    <phoneticPr fontId="9"/>
  </si>
  <si>
    <t>06-6992-1231</t>
  </si>
  <si>
    <t>3201</t>
    <phoneticPr fontId="9"/>
  </si>
  <si>
    <t>患者支援連携センター</t>
  </si>
  <si>
    <t>06-6692-5373</t>
  </si>
  <si>
    <t>3195</t>
    <phoneticPr fontId="9"/>
  </si>
  <si>
    <t>対応不可</t>
    <rPh sb="0" eb="4">
      <t>タイオウフカ</t>
    </rPh>
    <phoneticPr fontId="9"/>
  </si>
  <si>
    <t>病棟があります</t>
  </si>
  <si>
    <t>届け出て受理されている</t>
  </si>
  <si>
    <t>院内病棟型</t>
  </si>
  <si>
    <t>https://kenpo.jpn.panasonic.com/kinen/department/palliative-care.html</t>
    <phoneticPr fontId="9"/>
  </si>
  <si>
    <t>医師</t>
    <rPh sb="0" eb="2">
      <t>イシ</t>
    </rPh>
    <phoneticPr fontId="9"/>
  </si>
  <si>
    <t>看護補助者</t>
    <rPh sb="0" eb="2">
      <t>カンゴ</t>
    </rPh>
    <rPh sb="2" eb="5">
      <t>ホジョシャ</t>
    </rPh>
    <phoneticPr fontId="9"/>
  </si>
  <si>
    <t>クラーク</t>
  </si>
  <si>
    <t>病棟薬剤師</t>
    <rPh sb="0" eb="2">
      <t>ビョウトウ</t>
    </rPh>
    <rPh sb="2" eb="5">
      <t>ヤクザイシ</t>
    </rPh>
    <phoneticPr fontId="9"/>
  </si>
  <si>
    <t>管理栄養士</t>
    <rPh sb="0" eb="5">
      <t>カンリエイヨウシ</t>
    </rPh>
    <phoneticPr fontId="9"/>
  </si>
  <si>
    <t>OT</t>
  </si>
  <si>
    <t>PT</t>
  </si>
  <si>
    <t>がん相談支援室</t>
    <rPh sb="2" eb="6">
      <t>ソウダンシエン</t>
    </rPh>
    <rPh sb="6" eb="7">
      <t>シツ</t>
    </rPh>
    <phoneticPr fontId="9"/>
  </si>
  <si>
    <t>06-6692-1231</t>
  </si>
  <si>
    <t>がん相談支援センター（がん相談支援室）</t>
    <rPh sb="2" eb="4">
      <t>ソウダン</t>
    </rPh>
    <rPh sb="4" eb="6">
      <t>シエン</t>
    </rPh>
    <rPh sb="13" eb="15">
      <t>ソウダン</t>
    </rPh>
    <rPh sb="15" eb="18">
      <t>シエンシツ</t>
    </rPh>
    <phoneticPr fontId="9"/>
  </si>
  <si>
    <t>https://kenpo.jpn.panasonic.com/kinen/department/consultation-support.html</t>
    <phoneticPr fontId="9"/>
  </si>
  <si>
    <t>患者支援連携センター</t>
    <rPh sb="0" eb="4">
      <t>カンジャシエン</t>
    </rPh>
    <rPh sb="4" eb="6">
      <t>レンケイ</t>
    </rPh>
    <phoneticPr fontId="9"/>
  </si>
  <si>
    <t>06-6992-5373</t>
  </si>
  <si>
    <t>家族用キッチン、家族控え室、談話室、デイルーム、ランドリー、浴室、特殊入浴室、洗髪室、応接室</t>
    <phoneticPr fontId="9"/>
  </si>
  <si>
    <t>連携している訪問看護ケアステーションを紹介している</t>
  </si>
  <si>
    <t>大阪医科薬科大学病院をはじめ、近隣施設を紹介している</t>
    <phoneticPr fontId="9"/>
  </si>
  <si>
    <t>常勤</t>
  </si>
  <si>
    <t>がん性疼痛看護認定看護師</t>
    <rPh sb="2" eb="3">
      <t>セイ</t>
    </rPh>
    <rPh sb="3" eb="5">
      <t>トウツウ</t>
    </rPh>
    <rPh sb="5" eb="7">
      <t>カンゴ</t>
    </rPh>
    <rPh sb="7" eb="9">
      <t>ニンテイ</t>
    </rPh>
    <rPh sb="9" eb="12">
      <t>カンゴシ</t>
    </rPh>
    <phoneticPr fontId="9"/>
  </si>
  <si>
    <t>緩和ケア認定看護師</t>
    <rPh sb="0" eb="2">
      <t>カンワ</t>
    </rPh>
    <rPh sb="4" eb="6">
      <t>ニンテイ</t>
    </rPh>
    <rPh sb="6" eb="9">
      <t>カンゴシ</t>
    </rPh>
    <phoneticPr fontId="9"/>
  </si>
  <si>
    <t>がん病態専門管理栄養士</t>
    <rPh sb="2" eb="4">
      <t>ビョウタイ</t>
    </rPh>
    <rPh sb="4" eb="6">
      <t>センモン</t>
    </rPh>
    <rPh sb="6" eb="8">
      <t>カンリ</t>
    </rPh>
    <rPh sb="8" eb="11">
      <t>エイヨウシ</t>
    </rPh>
    <phoneticPr fontId="9"/>
  </si>
  <si>
    <t>理学療法士</t>
    <rPh sb="0" eb="5">
      <t>リガクリョウホウシ</t>
    </rPh>
    <phoneticPr fontId="9"/>
  </si>
  <si>
    <t>リンパ浮腫療法士</t>
    <rPh sb="3" eb="5">
      <t>フシュ</t>
    </rPh>
    <rPh sb="5" eb="8">
      <t>リョウホウシ</t>
    </rPh>
    <phoneticPr fontId="9"/>
  </si>
  <si>
    <t>作業療法士</t>
    <rPh sb="0" eb="5">
      <t>サギョウリョウホウシ</t>
    </rPh>
    <phoneticPr fontId="9"/>
  </si>
  <si>
    <t>がん専門作業療法士</t>
    <rPh sb="2" eb="4">
      <t>センモン</t>
    </rPh>
    <rPh sb="4" eb="6">
      <t>サギョウ</t>
    </rPh>
    <rPh sb="6" eb="9">
      <t>リョウホウシ</t>
    </rPh>
    <phoneticPr fontId="9"/>
  </si>
  <si>
    <t>緩和ケア薬物療法認定薬剤師</t>
    <rPh sb="0" eb="2">
      <t>カンワ</t>
    </rPh>
    <rPh sb="4" eb="8">
      <t>ヤクブツリョウホウ</t>
    </rPh>
    <rPh sb="8" eb="10">
      <t>ニンテイ</t>
    </rPh>
    <rPh sb="10" eb="13">
      <t>ヤクザイシ</t>
    </rPh>
    <phoneticPr fontId="9"/>
  </si>
  <si>
    <t>回／週</t>
  </si>
  <si>
    <t>緩和ケア病棟リンクナースを中心に、がん患者の苦痛がある場合はラウンド日以外でも、緩和ケア認定看護師などの認定看護師への直接相談を受けている。そこから必要であれば緩和ケアラウンドへあげるようにしている。また、医師による症状コントロール相談も随時、直接緩和ケアチーム医師、または認定看護師への相談を受けている。</t>
    <phoneticPr fontId="9"/>
  </si>
  <si>
    <t>外来・病棟ともに、がん患者に対するがん問診を行い、専門的的スタッフの介入できるようにしている。病棟スタッフには苦痛スクリーニングの説明会を開催している。</t>
    <phoneticPr fontId="9"/>
  </si>
  <si>
    <t>いいえ</t>
    <phoneticPr fontId="9"/>
  </si>
  <si>
    <t>仕事と治療の両立支援のため、勤務先（会社）と担当医師間で情報を共有し、無理のない働き方ができるよう連携を図っている。
相談内容に応じて、大阪府社会保険労務士会がん患者就労支援ホットラインを活用し、患者の就労支援を行っている。
スクールカウンセラーの資格を有する臨床心理士を配置し適宜相談している。</t>
    <phoneticPr fontId="9"/>
  </si>
  <si>
    <t>大阪市立総合医療センター</t>
    <rPh sb="0" eb="3">
      <t>オオサカシ</t>
    </rPh>
    <rPh sb="3" eb="4">
      <t>リツ</t>
    </rPh>
    <rPh sb="4" eb="6">
      <t>ソウゴウ</t>
    </rPh>
    <rPh sb="6" eb="8">
      <t>イリョウ</t>
    </rPh>
    <phoneticPr fontId="9"/>
  </si>
  <si>
    <t>がん治療のため妊孕性が低下することを医師から説明し、がん相談支援センターにて妊孕性温存治療を受けるための助成制度の説明や指定医療機関の紹介をおこなっている</t>
    <rPh sb="2" eb="4">
      <t>チリョウ</t>
    </rPh>
    <rPh sb="7" eb="10">
      <t>ニンヨウセイ</t>
    </rPh>
    <rPh sb="11" eb="13">
      <t>テイカ</t>
    </rPh>
    <rPh sb="18" eb="20">
      <t>イシ</t>
    </rPh>
    <rPh sb="22" eb="24">
      <t>セツメイ</t>
    </rPh>
    <rPh sb="28" eb="30">
      <t>ソウダン</t>
    </rPh>
    <rPh sb="30" eb="32">
      <t>シエン</t>
    </rPh>
    <rPh sb="38" eb="41">
      <t>ニンヨウセイ</t>
    </rPh>
    <rPh sb="41" eb="45">
      <t>オンゾンチリョウ</t>
    </rPh>
    <rPh sb="46" eb="47">
      <t>ウ</t>
    </rPh>
    <rPh sb="52" eb="54">
      <t>ジョセイ</t>
    </rPh>
    <rPh sb="54" eb="56">
      <t>セイド</t>
    </rPh>
    <rPh sb="57" eb="59">
      <t>セツメイ</t>
    </rPh>
    <rPh sb="60" eb="62">
      <t>シテイ</t>
    </rPh>
    <rPh sb="62" eb="64">
      <t>イリョウ</t>
    </rPh>
    <rPh sb="64" eb="66">
      <t>キカン</t>
    </rPh>
    <rPh sb="67" eb="69">
      <t>ショウカイ</t>
    </rPh>
    <phoneticPr fontId="9"/>
  </si>
  <si>
    <t>患者から希望があれば、「治療の状況や就業継続の可否等についての主治医意見書」を記載している。また相談内容に応じて、大阪府社会保険労務士会がん患者就労支援ホットラインを活用し、患者の就労支援を行っている。</t>
    <rPh sb="0" eb="2">
      <t>カンジャ</t>
    </rPh>
    <rPh sb="4" eb="6">
      <t>キボウ</t>
    </rPh>
    <rPh sb="39" eb="41">
      <t>キサイ</t>
    </rPh>
    <rPh sb="48" eb="50">
      <t>ソウダン</t>
    </rPh>
    <phoneticPr fontId="9"/>
  </si>
  <si>
    <t>脱毛が予測される化学療法については、実施前にがん相談支援センターで脱毛の時期やケア方法、ウイッグについての説明、相談を行っている。院内のイベントでは化粧品会社に協力をいただき、化学療法を受ける方のメイクのコツなどを実演していただいた。</t>
    <rPh sb="0" eb="2">
      <t>ダツモウ</t>
    </rPh>
    <rPh sb="3" eb="5">
      <t>ヨソク</t>
    </rPh>
    <rPh sb="8" eb="12">
      <t>カガクリョウホウ</t>
    </rPh>
    <rPh sb="18" eb="20">
      <t>ジッシ</t>
    </rPh>
    <rPh sb="20" eb="21">
      <t>マエ</t>
    </rPh>
    <rPh sb="24" eb="26">
      <t>ソウダン</t>
    </rPh>
    <rPh sb="26" eb="28">
      <t>シエン</t>
    </rPh>
    <rPh sb="33" eb="35">
      <t>ダツモウ</t>
    </rPh>
    <rPh sb="36" eb="38">
      <t>ジキ</t>
    </rPh>
    <rPh sb="41" eb="43">
      <t>ホウホウ</t>
    </rPh>
    <rPh sb="53" eb="55">
      <t>セツメイ</t>
    </rPh>
    <rPh sb="56" eb="58">
      <t>ソウダン</t>
    </rPh>
    <rPh sb="59" eb="60">
      <t>オコナ</t>
    </rPh>
    <rPh sb="65" eb="67">
      <t>インナイ</t>
    </rPh>
    <rPh sb="74" eb="79">
      <t>ケショウヒンガイシャ</t>
    </rPh>
    <rPh sb="80" eb="82">
      <t>キョウリョク</t>
    </rPh>
    <rPh sb="88" eb="92">
      <t>カガクリョウホウ</t>
    </rPh>
    <rPh sb="93" eb="94">
      <t>ウ</t>
    </rPh>
    <rPh sb="96" eb="97">
      <t>カタ</t>
    </rPh>
    <rPh sb="107" eb="109">
      <t>ジツエン</t>
    </rPh>
    <phoneticPr fontId="9"/>
  </si>
  <si>
    <t>高齢で認知機能が低下している方については、認知症看護認定看護師と協働し、認知能力についてアセスメントを行ったり、説明時の工夫を行っている</t>
    <rPh sb="0" eb="2">
      <t>コウレイ</t>
    </rPh>
    <rPh sb="3" eb="7">
      <t>ニンチキノウ</t>
    </rPh>
    <rPh sb="8" eb="10">
      <t>テイカ</t>
    </rPh>
    <rPh sb="14" eb="15">
      <t>カタ</t>
    </rPh>
    <rPh sb="21" eb="24">
      <t>ニンチショウ</t>
    </rPh>
    <rPh sb="24" eb="26">
      <t>カンゴ</t>
    </rPh>
    <rPh sb="26" eb="31">
      <t>ニンテイカンゴシ</t>
    </rPh>
    <rPh sb="32" eb="34">
      <t>キョウドウ</t>
    </rPh>
    <rPh sb="36" eb="40">
      <t>ニンチノウリョク</t>
    </rPh>
    <rPh sb="51" eb="52">
      <t>オコナ</t>
    </rPh>
    <rPh sb="56" eb="59">
      <t>セツメイジ</t>
    </rPh>
    <rPh sb="60" eb="62">
      <t>クフウ</t>
    </rPh>
    <rPh sb="63" eb="64">
      <t>オコナ</t>
    </rPh>
    <phoneticPr fontId="9"/>
  </si>
  <si>
    <t>ご家族の仕事について</t>
    <rPh sb="1" eb="3">
      <t>カゾク</t>
    </rPh>
    <rPh sb="4" eb="6">
      <t>シゴト</t>
    </rPh>
    <phoneticPr fontId="9"/>
  </si>
  <si>
    <t>診察の介助について</t>
    <rPh sb="0" eb="2">
      <t>シンサツ</t>
    </rPh>
    <rPh sb="3" eb="5">
      <t>カイジョ</t>
    </rPh>
    <phoneticPr fontId="9"/>
  </si>
  <si>
    <t>病状説明の同席について</t>
    <rPh sb="0" eb="2">
      <t>ビョウジョウ</t>
    </rPh>
    <rPh sb="2" eb="4">
      <t>セツメイ</t>
    </rPh>
    <rPh sb="5" eb="7">
      <t>ドウセキ</t>
    </rPh>
    <phoneticPr fontId="9"/>
  </si>
  <si>
    <t>パナソニック健康保険組合　松下記念病院　がん相談支援室</t>
    <rPh sb="6" eb="10">
      <t>ケンコウホケン</t>
    </rPh>
    <rPh sb="10" eb="12">
      <t>クミアイ</t>
    </rPh>
    <rPh sb="13" eb="15">
      <t>マツシタ</t>
    </rPh>
    <rPh sb="15" eb="17">
      <t>キネン</t>
    </rPh>
    <rPh sb="17" eb="19">
      <t>ビョウイン</t>
    </rPh>
    <rPh sb="22" eb="24">
      <t>ソウダン</t>
    </rPh>
    <rPh sb="24" eb="26">
      <t>シエン</t>
    </rPh>
    <rPh sb="26" eb="27">
      <t>シツ</t>
    </rPh>
    <phoneticPr fontId="9"/>
  </si>
  <si>
    <t>実施</t>
  </si>
  <si>
    <t>未実施</t>
  </si>
  <si>
    <t>病名告知、治療方針の決定時には、がん領域の認定看護師が診察に同席し、その後がん相談支援センターで患者や家族と面談を行っている</t>
    <phoneticPr fontId="9"/>
  </si>
  <si>
    <t>外来化学療法室、がん相談支援室</t>
    <rPh sb="0" eb="2">
      <t>ガイライ</t>
    </rPh>
    <rPh sb="2" eb="7">
      <t>カガクリョウホウシツ</t>
    </rPh>
    <rPh sb="10" eb="12">
      <t>ソウダン</t>
    </rPh>
    <rPh sb="12" eb="14">
      <t>シエン</t>
    </rPh>
    <rPh sb="14" eb="15">
      <t>シツ</t>
    </rPh>
    <phoneticPr fontId="9"/>
  </si>
  <si>
    <t>がん相談支援室</t>
    <rPh sb="2" eb="4">
      <t>ソウダン</t>
    </rPh>
    <rPh sb="4" eb="6">
      <t>シエン</t>
    </rPh>
    <rPh sb="6" eb="7">
      <t>シツ</t>
    </rPh>
    <phoneticPr fontId="9"/>
  </si>
  <si>
    <t>門真市がん患者会</t>
    <rPh sb="0" eb="3">
      <t>カドマシ</t>
    </rPh>
    <rPh sb="5" eb="8">
      <t>カンジャカイ</t>
    </rPh>
    <phoneticPr fontId="9"/>
  </si>
  <si>
    <t>すべてのがん</t>
  </si>
  <si>
    <t>当院で実施しているサロンなど、広報していただいている。</t>
    <rPh sb="0" eb="2">
      <t>トウイン</t>
    </rPh>
    <rPh sb="3" eb="5">
      <t>ジッシ</t>
    </rPh>
    <rPh sb="15" eb="17">
      <t>コウホウ</t>
    </rPh>
    <phoneticPr fontId="9"/>
  </si>
  <si>
    <t>コロストーマとウロストーマ</t>
  </si>
  <si>
    <t>大腸がん、膀胱がん</t>
    <phoneticPr fontId="9"/>
  </si>
  <si>
    <t>ストーマ外来</t>
    <rPh sb="4" eb="6">
      <t>ガイライ</t>
    </rPh>
    <phoneticPr fontId="9"/>
  </si>
  <si>
    <t>専従</t>
  </si>
  <si>
    <t>初級認定者（みなし含む）</t>
  </si>
  <si>
    <t>専任</t>
  </si>
  <si>
    <t>臨床試験専用の窓口がある</t>
  </si>
  <si>
    <t>臨床研究管理室</t>
    <rPh sb="0" eb="4">
      <t>リンショウケンキュウ</t>
    </rPh>
    <rPh sb="4" eb="7">
      <t>カンリシツ</t>
    </rPh>
    <phoneticPr fontId="9"/>
  </si>
  <si>
    <t>臨床研究・治験</t>
    <rPh sb="0" eb="2">
      <t>リンショウ</t>
    </rPh>
    <rPh sb="2" eb="4">
      <t>ケンキュウ</t>
    </rPh>
    <rPh sb="5" eb="7">
      <t>チケン</t>
    </rPh>
    <phoneticPr fontId="9"/>
  </si>
  <si>
    <t>https://kenpo.jpn.panasonic.com/kinen/about/trials.html</t>
    <phoneticPr fontId="9"/>
  </si>
  <si>
    <t xml:space="preserve">06-6992 -5566 </t>
    <phoneticPr fontId="9"/>
  </si>
  <si>
    <t>3275</t>
    <phoneticPr fontId="9"/>
  </si>
  <si>
    <t xml:space="preserve">06-6992-5566 </t>
    <phoneticPr fontId="9"/>
  </si>
  <si>
    <t>治験専用の窓口がある</t>
  </si>
  <si>
    <t>臨床研究・治験</t>
    <rPh sb="0" eb="4">
      <t>リンショウケンキュウ</t>
    </rPh>
    <rPh sb="5" eb="7">
      <t>チケン</t>
    </rPh>
    <phoneticPr fontId="9"/>
  </si>
  <si>
    <t>https://kenpo.jpn.panasonic.com/kinen/department/specialty/tqm/004.html</t>
    <phoneticPr fontId="9"/>
  </si>
  <si>
    <t>06-6992-5566</t>
    <phoneticPr fontId="9"/>
  </si>
  <si>
    <t>専任（5割以上8割未満）</t>
  </si>
  <si>
    <t>医療安全管理者養成課程講習会
（修了者再受講）</t>
    <rPh sb="0" eb="4">
      <t>イリョウアンゼン</t>
    </rPh>
    <rPh sb="4" eb="7">
      <t>カンリシャ</t>
    </rPh>
    <rPh sb="7" eb="9">
      <t>ヨウセイ</t>
    </rPh>
    <rPh sb="9" eb="11">
      <t>カテイ</t>
    </rPh>
    <rPh sb="11" eb="14">
      <t>コウシュウカイ</t>
    </rPh>
    <rPh sb="16" eb="19">
      <t>シュウリョウシャ</t>
    </rPh>
    <rPh sb="19" eb="22">
      <t>サイジュコウ</t>
    </rPh>
    <phoneticPr fontId="9"/>
  </si>
  <si>
    <t>全日本病院協会
日本医療法人協会</t>
    <rPh sb="0" eb="3">
      <t>ゼンニッポン</t>
    </rPh>
    <rPh sb="3" eb="7">
      <t>ビョウインキョウカイ</t>
    </rPh>
    <rPh sb="8" eb="10">
      <t>ニホン</t>
    </rPh>
    <rPh sb="10" eb="14">
      <t>イリョウホウジン</t>
    </rPh>
    <rPh sb="14" eb="16">
      <t>キョウカイ</t>
    </rPh>
    <phoneticPr fontId="9"/>
  </si>
  <si>
    <t>専従（8割以上）</t>
  </si>
  <si>
    <t>医療安全管理者養成課程講習会
（修了者再受講）</t>
    <phoneticPr fontId="9"/>
  </si>
  <si>
    <t>全日本病院協会
日本医療法人協会</t>
    <phoneticPr fontId="9"/>
  </si>
  <si>
    <t>薬剤師</t>
  </si>
  <si>
    <t>2023年度患者安全推進全体フォーラム
医療セーフティマネジメント学特論医療リスク</t>
    <rPh sb="4" eb="5">
      <t>ネン</t>
    </rPh>
    <rPh sb="5" eb="6">
      <t>ド</t>
    </rPh>
    <rPh sb="6" eb="8">
      <t>カンジャ</t>
    </rPh>
    <rPh sb="8" eb="10">
      <t>アンゼン</t>
    </rPh>
    <rPh sb="10" eb="12">
      <t>スイシン</t>
    </rPh>
    <rPh sb="12" eb="14">
      <t>ゼンタイ</t>
    </rPh>
    <rPh sb="20" eb="22">
      <t>イリョウ</t>
    </rPh>
    <rPh sb="33" eb="34">
      <t>ガク</t>
    </rPh>
    <rPh sb="34" eb="36">
      <t>トクロン</t>
    </rPh>
    <rPh sb="36" eb="38">
      <t>イリョウ</t>
    </rPh>
    <phoneticPr fontId="9"/>
  </si>
  <si>
    <t>日本病院評価機構
滋慶医療科学大学</t>
    <phoneticPr fontId="9"/>
  </si>
  <si>
    <t>2024年3月2日
2023年3月31日</t>
    <phoneticPr fontId="9"/>
  </si>
  <si>
    <t>医療安全管理者養成講習会　継続講習</t>
    <phoneticPr fontId="9"/>
  </si>
  <si>
    <t>日本病院会</t>
    <rPh sb="0" eb="5">
      <t>ニホンビョウインカイ</t>
    </rPh>
    <phoneticPr fontId="9"/>
  </si>
  <si>
    <t>医療安全管理者養成研修</t>
    <phoneticPr fontId="9"/>
  </si>
  <si>
    <t>大阪府看護協会</t>
    <rPh sb="0" eb="7">
      <t>オオサカフカンゴキョウカイ</t>
    </rPh>
    <phoneticPr fontId="9"/>
  </si>
  <si>
    <t>医療安全管理者養成課程講習会</t>
    <phoneticPr fontId="9"/>
  </si>
  <si>
    <t>日本医療機能評価機構
病院機能評価</t>
    <phoneticPr fontId="9"/>
  </si>
  <si>
    <t>JCEP（卒後臨床研修評価機構）</t>
    <rPh sb="5" eb="11">
      <t>ソツゴリンショウケンシュウ</t>
    </rPh>
    <rPh sb="11" eb="15">
      <t>ヒョウカキコウ</t>
    </rPh>
    <phoneticPr fontId="9"/>
  </si>
  <si>
    <t>（2）入院時支援としてPFMが嚥下評価を行い、必要な患者に歯科介入できるようにしている。
（3）全身麻酔下で手術予定の患者に対して、PFMが歯科受診を依頼できるようにしている。
（4）歯科医師については、必要時に栄養サポートチームと共に活動している。
（5）看護師と協力して、患者の状態に合わせて必要時には医師が歯科医師へ依頼を行っている。</t>
    <phoneticPr fontId="9"/>
  </si>
  <si>
    <t>院内の歯科医師と連携体制を構築</t>
  </si>
  <si>
    <t>nasi</t>
    <phoneticPr fontId="9"/>
  </si>
  <si>
    <t>非定期</t>
  </si>
  <si>
    <t>　　　　　　　　　　　　・がん医療に関するQI報告　　　・各部会からの報告</t>
  </si>
  <si>
    <t>北河内がん診療ネットワーク協議会</t>
  </si>
  <si>
    <t>初回指定年月日：2009年4月1日</t>
    <rPh sb="0" eb="2">
      <t>ショカイ</t>
    </rPh>
    <rPh sb="2" eb="4">
      <t>シテイ</t>
    </rPh>
    <rPh sb="4" eb="7">
      <t>ネンガッピ</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</si>
</sst>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1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s>
  <fills count="52">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s>
  <borders count="27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9">
    <xf numFmtId="0" fontId="0" fillId="0" borderId="0">
      <alignment vertical="center"/>
    </xf>
    <xf numFmtId="0" fontId="33" fillId="12" borderId="0" applyNumberFormat="0" applyBorder="0" applyAlignment="0" applyProtection="0">
      <alignment vertical="center"/>
    </xf>
    <xf numFmtId="0" fontId="31" fillId="0" borderId="0" applyNumberFormat="0" applyFill="0" applyBorder="0" applyAlignment="0" applyProtection="0">
      <alignment vertical="top"/>
      <protection locked="0"/>
    </xf>
    <xf numFmtId="0" fontId="14" fillId="0" borderId="0">
      <alignment vertical="center"/>
    </xf>
    <xf numFmtId="0" fontId="8" fillId="0" borderId="0">
      <alignment vertical="center"/>
    </xf>
    <xf numFmtId="0" fontId="34" fillId="0" borderId="0"/>
    <xf numFmtId="0" fontId="8" fillId="0" borderId="0">
      <alignment vertical="center"/>
    </xf>
    <xf numFmtId="0" fontId="34" fillId="0" borderId="0"/>
    <xf numFmtId="0" fontId="34"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5" fillId="33" borderId="0" applyNumberFormat="0" applyBorder="0" applyAlignment="0" applyProtection="0">
      <alignment vertical="center"/>
    </xf>
    <xf numFmtId="0" fontId="60" fillId="32" borderId="0" applyNumberFormat="0" applyBorder="0" applyAlignment="0" applyProtection="0">
      <alignment vertical="center"/>
    </xf>
    <xf numFmtId="0" fontId="6" fillId="0" borderId="0">
      <alignment vertical="center"/>
    </xf>
    <xf numFmtId="9" fontId="8" fillId="0" borderId="0" applyFont="0" applyFill="0" applyBorder="0" applyAlignment="0" applyProtection="0">
      <alignment vertical="center"/>
    </xf>
    <xf numFmtId="0" fontId="5" fillId="0" borderId="0">
      <alignment vertical="center"/>
    </xf>
    <xf numFmtId="38" fontId="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xf numFmtId="0" fontId="2" fillId="0" borderId="0">
      <alignment vertical="center"/>
    </xf>
    <xf numFmtId="38" fontId="32" fillId="0" borderId="0" applyFont="0" applyFill="0" applyBorder="0" applyAlignment="0" applyProtection="0">
      <alignment vertical="center"/>
    </xf>
    <xf numFmtId="0" fontId="8" fillId="0" borderId="0">
      <alignment vertical="center"/>
    </xf>
    <xf numFmtId="9" fontId="3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930">
    <xf numFmtId="0" fontId="0" fillId="0" borderId="0" xfId="0">
      <alignment vertical="center"/>
    </xf>
    <xf numFmtId="0" fontId="0" fillId="0" borderId="0" xfId="0" applyAlignment="1">
      <alignment horizontal="left" vertical="center"/>
    </xf>
    <xf numFmtId="0" fontId="11" fillId="6" borderId="1" xfId="0" applyFont="1" applyFill="1" applyBorder="1" applyAlignment="1" applyProtection="1">
      <alignment horizontal="center" vertical="center"/>
      <protection locked="0"/>
    </xf>
    <xf numFmtId="0" fontId="11" fillId="0" borderId="0" xfId="0" applyFont="1">
      <alignment vertical="center"/>
    </xf>
    <xf numFmtId="0" fontId="11" fillId="0" borderId="4" xfId="0" applyFont="1" applyBorder="1">
      <alignment vertical="center"/>
    </xf>
    <xf numFmtId="0" fontId="14" fillId="0" borderId="5" xfId="0" applyFont="1" applyBorder="1">
      <alignment vertical="center"/>
    </xf>
    <xf numFmtId="0" fontId="17" fillId="0" borderId="5" xfId="0" applyFont="1" applyBorder="1" applyAlignment="1">
      <alignment horizontal="center" vertical="center"/>
    </xf>
    <xf numFmtId="0" fontId="11" fillId="0" borderId="0" xfId="0" applyFont="1" applyAlignment="1">
      <alignment vertical="center" wrapText="1"/>
    </xf>
    <xf numFmtId="0" fontId="14" fillId="0" borderId="0" xfId="0" applyFont="1">
      <alignment vertical="center"/>
    </xf>
    <xf numFmtId="0" fontId="0" fillId="0" borderId="5" xfId="0" applyBorder="1">
      <alignment vertical="center"/>
    </xf>
    <xf numFmtId="0" fontId="11" fillId="0" borderId="0" xfId="0" applyFont="1" applyAlignment="1">
      <alignment horizontal="right" vertical="center"/>
    </xf>
    <xf numFmtId="179" fontId="17" fillId="0" borderId="19" xfId="0" applyNumberFormat="1" applyFont="1" applyBorder="1" applyAlignment="1" applyProtection="1">
      <alignment horizontal="center" vertical="center"/>
      <protection hidden="1"/>
    </xf>
    <xf numFmtId="178" fontId="17" fillId="0" borderId="0" xfId="0" applyNumberFormat="1" applyFont="1" applyProtection="1">
      <alignment vertical="center"/>
      <protection hidden="1"/>
    </xf>
    <xf numFmtId="178" fontId="0" fillId="0" borderId="0" xfId="0" applyNumberFormat="1" applyProtection="1">
      <alignment vertical="center"/>
      <protection hidden="1"/>
    </xf>
    <xf numFmtId="178" fontId="14" fillId="0" borderId="0" xfId="0" applyNumberFormat="1" applyFont="1" applyProtection="1">
      <alignment vertical="center"/>
      <protection hidden="1"/>
    </xf>
    <xf numFmtId="0" fontId="0" fillId="0" borderId="5" xfId="0" applyBorder="1" applyAlignment="1">
      <alignment horizontal="left" vertical="center"/>
    </xf>
    <xf numFmtId="0" fontId="19" fillId="0" borderId="0" xfId="0" applyFont="1">
      <alignment vertical="center"/>
    </xf>
    <xf numFmtId="0" fontId="19" fillId="0" borderId="0" xfId="0" applyFont="1" applyAlignment="1">
      <alignment horizontal="left" vertical="center"/>
    </xf>
    <xf numFmtId="0" fontId="12" fillId="0" borderId="0" xfId="0" applyFont="1">
      <alignment vertical="center"/>
    </xf>
    <xf numFmtId="0" fontId="11" fillId="0" borderId="0" xfId="0" applyFont="1" applyAlignment="1">
      <alignment horizontal="left" vertical="center" wrapText="1"/>
    </xf>
    <xf numFmtId="0" fontId="11" fillId="0" borderId="4" xfId="0" applyFont="1" applyBorder="1" applyAlignment="1">
      <alignment horizontal="left" vertical="center"/>
    </xf>
    <xf numFmtId="0" fontId="11" fillId="0" borderId="4" xfId="0" applyFont="1" applyBorder="1" applyAlignment="1">
      <alignment vertical="center" wrapText="1"/>
    </xf>
    <xf numFmtId="0" fontId="25" fillId="0" borderId="5" xfId="0" applyFont="1" applyBorder="1" applyAlignment="1">
      <alignment horizontal="left" vertical="center"/>
    </xf>
    <xf numFmtId="0" fontId="17" fillId="0" borderId="5" xfId="0" applyFont="1" applyBorder="1">
      <alignment vertical="center"/>
    </xf>
    <xf numFmtId="0" fontId="17" fillId="0" borderId="5" xfId="0" applyFont="1" applyBorder="1" applyAlignment="1">
      <alignment horizontal="left" vertical="center"/>
    </xf>
    <xf numFmtId="0" fontId="17" fillId="0" borderId="5" xfId="0" applyFont="1" applyBorder="1" applyAlignment="1">
      <alignment vertical="center" wrapText="1"/>
    </xf>
    <xf numFmtId="0" fontId="17" fillId="0" borderId="0" xfId="0" applyFont="1">
      <alignment vertical="center"/>
    </xf>
    <xf numFmtId="0" fontId="17" fillId="0" borderId="5" xfId="0" applyFont="1" applyBorder="1" applyAlignment="1">
      <alignment horizontal="center" vertical="center" wrapText="1"/>
    </xf>
    <xf numFmtId="0" fontId="17" fillId="0" borderId="37" xfId="0" applyFont="1" applyBorder="1" applyAlignment="1">
      <alignment horizontal="center" vertical="center" wrapText="1"/>
    </xf>
    <xf numFmtId="0" fontId="17" fillId="0" borderId="10" xfId="0" applyFont="1" applyBorder="1" applyAlignment="1">
      <alignment vertical="center" wrapText="1"/>
    </xf>
    <xf numFmtId="0" fontId="26" fillId="0" borderId="0" xfId="0" applyFont="1">
      <alignment vertical="center"/>
    </xf>
    <xf numFmtId="0" fontId="0" fillId="0" borderId="0" xfId="0" applyAlignment="1">
      <alignment vertical="center" wrapText="1"/>
    </xf>
    <xf numFmtId="178" fontId="19" fillId="0" borderId="0" xfId="0" applyNumberFormat="1" applyFont="1" applyProtection="1">
      <alignment vertical="center"/>
      <protection hidden="1"/>
    </xf>
    <xf numFmtId="178" fontId="11" fillId="0" borderId="0" xfId="0" applyNumberFormat="1" applyFont="1" applyProtection="1">
      <alignment vertical="center"/>
      <protection hidden="1"/>
    </xf>
    <xf numFmtId="178" fontId="26" fillId="0" borderId="0" xfId="0" applyNumberFormat="1" applyFont="1" applyProtection="1">
      <alignment vertical="center"/>
      <protection hidden="1"/>
    </xf>
    <xf numFmtId="179" fontId="17" fillId="0" borderId="5" xfId="0" applyNumberFormat="1" applyFont="1" applyBorder="1" applyAlignment="1" applyProtection="1">
      <alignment horizontal="center" vertical="center"/>
      <protection hidden="1"/>
    </xf>
    <xf numFmtId="0" fontId="14" fillId="4" borderId="1" xfId="0" applyFont="1" applyFill="1" applyBorder="1" applyAlignment="1" applyProtection="1">
      <alignment horizontal="center" vertical="center"/>
      <protection locked="0"/>
    </xf>
    <xf numFmtId="0" fontId="14" fillId="4" borderId="2" xfId="0" applyFont="1" applyFill="1" applyBorder="1" applyAlignment="1" applyProtection="1">
      <alignment horizontal="center" vertical="center"/>
      <protection locked="0"/>
    </xf>
    <xf numFmtId="0" fontId="14"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8" fillId="0" borderId="5" xfId="1" applyFont="1" applyFill="1" applyBorder="1" applyAlignment="1" applyProtection="1">
      <alignment vertical="center" wrapText="1"/>
    </xf>
    <xf numFmtId="0" fontId="8" fillId="0" borderId="10" xfId="1" applyFont="1" applyFill="1" applyBorder="1" applyAlignment="1" applyProtection="1">
      <alignment vertical="center" wrapText="1"/>
    </xf>
    <xf numFmtId="0" fontId="11" fillId="0" borderId="0" xfId="0" applyFont="1" applyAlignment="1">
      <alignment horizontal="left" vertical="center"/>
    </xf>
    <xf numFmtId="0" fontId="15" fillId="4" borderId="1" xfId="0" applyFont="1" applyFill="1" applyBorder="1" applyAlignment="1" applyProtection="1">
      <alignment horizontal="center" vertical="center"/>
      <protection locked="0"/>
    </xf>
    <xf numFmtId="0" fontId="15" fillId="16" borderId="1" xfId="0" applyFont="1" applyFill="1" applyBorder="1" applyAlignment="1" applyProtection="1">
      <alignment horizontal="center" vertical="center" shrinkToFit="1"/>
      <protection locked="0"/>
    </xf>
    <xf numFmtId="0" fontId="15" fillId="4" borderId="1" xfId="0" applyFont="1" applyFill="1" applyBorder="1" applyAlignment="1" applyProtection="1">
      <alignment horizontal="center" vertical="center" shrinkToFit="1"/>
      <protection locked="0"/>
    </xf>
    <xf numFmtId="0" fontId="15" fillId="3"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0" fillId="20" borderId="0" xfId="0" applyFill="1">
      <alignment vertical="center"/>
    </xf>
    <xf numFmtId="179" fontId="17" fillId="0" borderId="37" xfId="0" applyNumberFormat="1" applyFont="1" applyBorder="1" applyAlignment="1">
      <alignment horizontal="center" vertical="center"/>
    </xf>
    <xf numFmtId="0" fontId="14" fillId="20" borderId="0" xfId="0" applyFont="1" applyFill="1">
      <alignment vertical="center"/>
    </xf>
    <xf numFmtId="0" fontId="14" fillId="29" borderId="1" xfId="0" applyFont="1" applyFill="1" applyBorder="1" applyAlignment="1" applyProtection="1">
      <alignment horizontal="center" vertical="center" wrapText="1"/>
      <protection locked="0"/>
    </xf>
    <xf numFmtId="0" fontId="63"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wrapText="1"/>
      <protection locked="0"/>
    </xf>
    <xf numFmtId="0" fontId="0" fillId="37" borderId="0" xfId="0" applyFill="1">
      <alignment vertical="center"/>
    </xf>
    <xf numFmtId="0" fontId="0" fillId="20" borderId="123" xfId="0" applyFill="1" applyBorder="1">
      <alignment vertical="center"/>
    </xf>
    <xf numFmtId="0" fontId="0" fillId="20" borderId="123" xfId="0" applyFill="1" applyBorder="1" applyAlignment="1">
      <alignment vertical="center" wrapText="1"/>
    </xf>
    <xf numFmtId="0" fontId="0" fillId="20" borderId="130" xfId="0" applyFill="1" applyBorder="1" applyAlignment="1">
      <alignment vertical="center" wrapText="1"/>
    </xf>
    <xf numFmtId="0" fontId="0" fillId="20" borderId="131" xfId="0" applyFill="1" applyBorder="1">
      <alignment vertical="center"/>
    </xf>
    <xf numFmtId="0" fontId="0" fillId="20" borderId="132" xfId="0" applyFill="1" applyBorder="1">
      <alignment vertical="center"/>
    </xf>
    <xf numFmtId="0" fontId="0" fillId="20" borderId="0" xfId="0" applyFill="1" applyAlignment="1">
      <alignment vertical="center" wrapText="1"/>
    </xf>
    <xf numFmtId="0" fontId="10" fillId="7" borderId="1" xfId="0" applyFont="1" applyFill="1" applyBorder="1" applyAlignment="1" applyProtection="1">
      <alignment horizontal="center" vertical="center"/>
      <protection locked="0"/>
    </xf>
    <xf numFmtId="0" fontId="14" fillId="4" borderId="3" xfId="0" applyFont="1" applyFill="1" applyBorder="1" applyAlignment="1" applyProtection="1">
      <alignment horizontal="center" vertical="center" wrapText="1"/>
      <protection locked="0"/>
    </xf>
    <xf numFmtId="0" fontId="0" fillId="20" borderId="183" xfId="0" applyFill="1" applyBorder="1">
      <alignment vertical="center"/>
    </xf>
    <xf numFmtId="0" fontId="0" fillId="7" borderId="1" xfId="0" applyFill="1" applyBorder="1" applyAlignment="1" applyProtection="1">
      <alignment horizontal="center" vertical="center"/>
      <protection locked="0"/>
    </xf>
    <xf numFmtId="0" fontId="17" fillId="0" borderId="186" xfId="0" applyFont="1" applyBorder="1" applyAlignment="1">
      <alignment horizontal="center" vertical="center"/>
    </xf>
    <xf numFmtId="0" fontId="26" fillId="0" borderId="37" xfId="0" applyFont="1" applyBorder="1" applyAlignment="1">
      <alignment horizontal="center" vertical="center"/>
    </xf>
    <xf numFmtId="0" fontId="17" fillId="0" borderId="38" xfId="0" applyFont="1" applyBorder="1" applyAlignment="1">
      <alignment horizontal="center" vertical="center"/>
    </xf>
    <xf numFmtId="0" fontId="17" fillId="0" borderId="0" xfId="0" applyFont="1" applyAlignment="1">
      <alignment horizontal="center" vertical="center"/>
    </xf>
    <xf numFmtId="0" fontId="17" fillId="0" borderId="0" xfId="0" applyFont="1" applyAlignment="1">
      <alignment horizontal="left" vertical="center"/>
    </xf>
    <xf numFmtId="0" fontId="17" fillId="0" borderId="0" xfId="0" applyFont="1" applyAlignment="1">
      <alignment vertical="center" wrapText="1"/>
    </xf>
    <xf numFmtId="0" fontId="14" fillId="20" borderId="63" xfId="0" applyFont="1" applyFill="1" applyBorder="1" applyAlignment="1" applyProtection="1">
      <alignment horizontal="left" vertical="center"/>
      <protection locked="0"/>
    </xf>
    <xf numFmtId="0" fontId="14" fillId="20" borderId="34" xfId="0" applyFont="1" applyFill="1" applyBorder="1" applyAlignment="1" applyProtection="1">
      <alignment horizontal="left" vertical="center"/>
      <protection locked="0"/>
    </xf>
    <xf numFmtId="0" fontId="74" fillId="0" borderId="5" xfId="0" applyFont="1" applyBorder="1" applyAlignment="1">
      <alignment horizontal="left" vertical="center"/>
    </xf>
    <xf numFmtId="0" fontId="46" fillId="0" borderId="123" xfId="23" applyFont="1" applyBorder="1" applyAlignment="1" applyProtection="1">
      <alignment horizontal="center" vertical="center"/>
      <protection locked="0"/>
    </xf>
    <xf numFmtId="0" fontId="0" fillId="20" borderId="1" xfId="0" applyFill="1" applyBorder="1" applyAlignment="1" applyProtection="1">
      <alignment horizontal="center" vertical="center"/>
      <protection locked="0"/>
    </xf>
    <xf numFmtId="0" fontId="22" fillId="0" borderId="0" xfId="0" applyFont="1">
      <alignment vertical="center"/>
    </xf>
    <xf numFmtId="38" fontId="0" fillId="0" borderId="0" xfId="24" applyFont="1">
      <alignment vertical="center"/>
    </xf>
    <xf numFmtId="38" fontId="0" fillId="20" borderId="123" xfId="24" applyFont="1" applyFill="1" applyBorder="1">
      <alignment vertical="center"/>
    </xf>
    <xf numFmtId="9" fontId="0" fillId="0" borderId="1" xfId="22" applyFont="1" applyBorder="1">
      <alignment vertical="center"/>
    </xf>
    <xf numFmtId="0" fontId="11" fillId="20" borderId="0" xfId="0" applyFont="1" applyFill="1">
      <alignment vertical="center"/>
    </xf>
    <xf numFmtId="0" fontId="63" fillId="20" borderId="0" xfId="2" applyFont="1" applyFill="1" applyAlignment="1" applyProtection="1">
      <alignment vertical="center"/>
    </xf>
    <xf numFmtId="0" fontId="63" fillId="46" borderId="0" xfId="2" applyFont="1" applyFill="1" applyAlignment="1" applyProtection="1">
      <alignment vertical="center"/>
    </xf>
    <xf numFmtId="0" fontId="63" fillId="20" borderId="0" xfId="2" applyFont="1" applyFill="1" applyAlignment="1" applyProtection="1">
      <alignment horizontal="left" vertical="center"/>
    </xf>
    <xf numFmtId="0" fontId="0" fillId="18" borderId="123" xfId="0" applyFill="1" applyBorder="1" applyAlignment="1" applyProtection="1">
      <alignment horizontal="center" vertical="center" wrapText="1"/>
      <protection locked="0"/>
    </xf>
    <xf numFmtId="0" fontId="17" fillId="22" borderId="0" xfId="0" applyFont="1" applyFill="1" applyAlignment="1">
      <alignment horizontal="center" vertical="center" textRotation="255" wrapText="1"/>
    </xf>
    <xf numFmtId="0" fontId="19" fillId="20" borderId="0" xfId="0" applyFont="1" applyFill="1">
      <alignment vertical="center"/>
    </xf>
    <xf numFmtId="0" fontId="11" fillId="20" borderId="77" xfId="0" applyFont="1" applyFill="1" applyBorder="1">
      <alignment vertical="center"/>
    </xf>
    <xf numFmtId="0" fontId="17" fillId="20" borderId="0" xfId="0" applyFont="1" applyFill="1">
      <alignment vertical="center"/>
    </xf>
    <xf numFmtId="0" fontId="14" fillId="20" borderId="0" xfId="0" applyFont="1" applyFill="1" applyAlignment="1">
      <alignment vertical="center" wrapText="1"/>
    </xf>
    <xf numFmtId="0" fontId="26" fillId="20" borderId="0" xfId="0" applyFont="1" applyFill="1">
      <alignment vertical="center"/>
    </xf>
    <xf numFmtId="0" fontId="0" fillId="43" borderId="124" xfId="0" applyFill="1" applyBorder="1" applyAlignment="1">
      <alignment vertical="center" wrapText="1"/>
    </xf>
    <xf numFmtId="0" fontId="0" fillId="38" borderId="124" xfId="0" applyFill="1" applyBorder="1" applyAlignment="1">
      <alignment vertical="center" wrapText="1"/>
    </xf>
    <xf numFmtId="9" fontId="0" fillId="43" borderId="124" xfId="22" applyFont="1" applyFill="1" applyBorder="1" applyAlignment="1">
      <alignment vertical="center" wrapText="1"/>
    </xf>
    <xf numFmtId="0" fontId="0" fillId="18" borderId="124" xfId="0" applyFill="1" applyBorder="1" applyAlignment="1" applyProtection="1">
      <alignment horizontal="center" vertical="center" wrapText="1"/>
      <protection locked="0"/>
    </xf>
    <xf numFmtId="0" fontId="63" fillId="9" borderId="0" xfId="2" applyFont="1" applyFill="1" applyBorder="1" applyAlignment="1" applyProtection="1">
      <alignment vertical="center"/>
    </xf>
    <xf numFmtId="177" fontId="11" fillId="11" borderId="1" xfId="0" applyNumberFormat="1" applyFont="1" applyFill="1" applyBorder="1" applyAlignment="1" applyProtection="1">
      <alignment horizontal="left" vertical="center"/>
      <protection locked="0"/>
    </xf>
    <xf numFmtId="177" fontId="11" fillId="17" borderId="1" xfId="0" applyNumberFormat="1" applyFont="1" applyFill="1" applyBorder="1" applyAlignment="1" applyProtection="1">
      <alignment horizontal="left" vertical="center"/>
      <protection locked="0"/>
    </xf>
    <xf numFmtId="0" fontId="32" fillId="14" borderId="1" xfId="9" applyFill="1" applyBorder="1" applyAlignment="1" applyProtection="1">
      <alignment horizontal="left" vertical="center" wrapText="1" shrinkToFit="1"/>
      <protection locked="0"/>
    </xf>
    <xf numFmtId="0" fontId="14" fillId="28"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5" fillId="4" borderId="1" xfId="0" applyFont="1" applyFill="1" applyBorder="1" applyAlignment="1" applyProtection="1">
      <alignment horizontal="center" vertical="center" wrapText="1"/>
      <protection locked="0"/>
    </xf>
    <xf numFmtId="0" fontId="63" fillId="20" borderId="0" xfId="2" applyFont="1" applyFill="1" applyBorder="1" applyAlignment="1" applyProtection="1">
      <alignment vertical="center"/>
    </xf>
    <xf numFmtId="0" fontId="14" fillId="5" borderId="28" xfId="0" applyFont="1" applyFill="1" applyBorder="1" applyAlignment="1" applyProtection="1">
      <alignment horizontal="left" vertical="center" wrapText="1"/>
      <protection locked="0"/>
    </xf>
    <xf numFmtId="0" fontId="14" fillId="20" borderId="0" xfId="0" applyFont="1" applyFill="1" applyAlignment="1">
      <alignment horizontal="left" vertical="center"/>
    </xf>
    <xf numFmtId="0" fontId="15" fillId="14" borderId="58" xfId="0" applyFont="1" applyFill="1" applyBorder="1" applyAlignment="1" applyProtection="1">
      <alignment horizontal="center" vertical="center" wrapText="1"/>
      <protection locked="0"/>
    </xf>
    <xf numFmtId="0" fontId="0" fillId="14" borderId="123" xfId="0" applyFill="1" applyBorder="1" applyAlignment="1" applyProtection="1">
      <alignment horizontal="center" vertical="center"/>
      <protection locked="0"/>
    </xf>
    <xf numFmtId="0" fontId="15" fillId="5" borderId="1" xfId="0" applyFont="1" applyFill="1" applyBorder="1" applyAlignment="1" applyProtection="1">
      <alignment horizontal="center" vertical="center" wrapText="1"/>
      <protection locked="0"/>
    </xf>
    <xf numFmtId="0" fontId="65" fillId="0" borderId="0" xfId="9" applyFont="1" applyAlignment="1">
      <alignment horizontal="left" vertical="center"/>
    </xf>
    <xf numFmtId="0" fontId="32" fillId="0" borderId="0" xfId="9" applyAlignment="1">
      <alignment horizontal="left" vertical="center"/>
    </xf>
    <xf numFmtId="0" fontId="44" fillId="0" borderId="81" xfId="9" applyFont="1" applyBorder="1">
      <alignment vertical="center"/>
    </xf>
    <xf numFmtId="0" fontId="32" fillId="0" borderId="83" xfId="9" applyBorder="1" applyAlignment="1">
      <alignment horizontal="left" vertical="center"/>
    </xf>
    <xf numFmtId="0" fontId="35" fillId="23" borderId="84" xfId="9" applyFont="1" applyFill="1" applyBorder="1" applyAlignment="1">
      <alignment horizontal="center" vertical="center"/>
    </xf>
    <xf numFmtId="0" fontId="45" fillId="23" borderId="85" xfId="9" applyFont="1" applyFill="1" applyBorder="1" applyAlignment="1">
      <alignment horizontal="left" vertical="center"/>
    </xf>
    <xf numFmtId="0" fontId="32" fillId="23" borderId="85" xfId="9" applyFill="1" applyBorder="1" applyAlignment="1">
      <alignment horizontal="left" vertical="center" wrapText="1"/>
    </xf>
    <xf numFmtId="0" fontId="32" fillId="23" borderId="86" xfId="9" applyFill="1" applyBorder="1" applyAlignment="1">
      <alignment horizontal="left" vertical="center"/>
    </xf>
    <xf numFmtId="0" fontId="32" fillId="0" borderId="128" xfId="9" applyBorder="1" applyAlignment="1">
      <alignment horizontal="left" vertical="center"/>
    </xf>
    <xf numFmtId="0" fontId="32" fillId="0" borderId="0" xfId="9" applyAlignment="1">
      <alignment horizontal="center" vertical="center"/>
    </xf>
    <xf numFmtId="0" fontId="32" fillId="0" borderId="0" xfId="9" applyAlignment="1">
      <alignment horizontal="left" vertical="center" wrapText="1"/>
    </xf>
    <xf numFmtId="0" fontId="32" fillId="0" borderId="21" xfId="9" applyBorder="1" applyAlignment="1">
      <alignment horizontal="left" vertical="center"/>
    </xf>
    <xf numFmtId="0" fontId="46" fillId="0" borderId="0" xfId="9" applyFont="1" applyAlignment="1">
      <alignment horizontal="left" vertical="center"/>
    </xf>
    <xf numFmtId="0" fontId="46" fillId="0" borderId="0" xfId="9" applyFont="1" applyAlignment="1">
      <alignment horizontal="left" vertical="center" wrapText="1"/>
    </xf>
    <xf numFmtId="0" fontId="46" fillId="0" borderId="128" xfId="9" applyFont="1" applyBorder="1" applyAlignment="1">
      <alignment horizontal="left" vertical="center"/>
    </xf>
    <xf numFmtId="0" fontId="46" fillId="0" borderId="0" xfId="9" applyFont="1" applyAlignment="1">
      <alignment horizontal="center" vertical="center" wrapText="1"/>
    </xf>
    <xf numFmtId="0" fontId="46" fillId="0" borderId="21" xfId="9" applyFont="1" applyBorder="1" applyAlignment="1">
      <alignment horizontal="left" vertical="center"/>
    </xf>
    <xf numFmtId="0" fontId="32" fillId="0" borderId="0" xfId="9" applyAlignment="1">
      <alignment horizontal="center" vertical="center" wrapText="1"/>
    </xf>
    <xf numFmtId="0" fontId="36" fillId="0" borderId="0" xfId="9" applyFont="1" applyAlignment="1">
      <alignment horizontal="left" vertical="center" wrapText="1"/>
    </xf>
    <xf numFmtId="0" fontId="35" fillId="23" borderId="128" xfId="9" applyFont="1" applyFill="1" applyBorder="1" applyAlignment="1">
      <alignment horizontal="center" vertical="center"/>
    </xf>
    <xf numFmtId="0" fontId="45" fillId="23" borderId="0" xfId="9" applyFont="1" applyFill="1" applyAlignment="1">
      <alignment horizontal="left" vertical="center"/>
    </xf>
    <xf numFmtId="0" fontId="32" fillId="23" borderId="0" xfId="9" applyFill="1" applyAlignment="1">
      <alignment horizontal="left" vertical="center" wrapText="1"/>
    </xf>
    <xf numFmtId="0" fontId="32" fillId="23" borderId="21" xfId="9" applyFill="1" applyBorder="1" applyAlignment="1">
      <alignment horizontal="left" vertical="center"/>
    </xf>
    <xf numFmtId="0" fontId="35" fillId="0" borderId="128" xfId="9" applyFont="1" applyBorder="1" applyAlignment="1">
      <alignment horizontal="left" vertical="center"/>
    </xf>
    <xf numFmtId="0" fontId="32" fillId="0" borderId="0" xfId="9">
      <alignment vertical="center"/>
    </xf>
    <xf numFmtId="0" fontId="32" fillId="24" borderId="128" xfId="9" applyFill="1" applyBorder="1" applyAlignment="1">
      <alignment horizontal="left" vertical="center"/>
    </xf>
    <xf numFmtId="0" fontId="32" fillId="24" borderId="0" xfId="9" applyFill="1" applyAlignment="1">
      <alignment horizontal="center" vertical="center"/>
    </xf>
    <xf numFmtId="0" fontId="48" fillId="24" borderId="0" xfId="9" applyFont="1" applyFill="1" applyAlignment="1">
      <alignment horizontal="left" vertical="center"/>
    </xf>
    <xf numFmtId="0" fontId="32" fillId="24" borderId="0" xfId="9" applyFill="1" applyAlignment="1">
      <alignment horizontal="left" vertical="center" wrapText="1"/>
    </xf>
    <xf numFmtId="0" fontId="32" fillId="24" borderId="21" xfId="9" applyFill="1" applyBorder="1" applyAlignment="1">
      <alignment horizontal="left" vertical="center"/>
    </xf>
    <xf numFmtId="0" fontId="32" fillId="24" borderId="0" xfId="9" applyFill="1" applyAlignment="1">
      <alignment horizontal="left" vertical="center"/>
    </xf>
    <xf numFmtId="0" fontId="50" fillId="0" borderId="0" xfId="9" applyFont="1" applyAlignment="1">
      <alignment horizontal="left" vertical="center" wrapText="1"/>
    </xf>
    <xf numFmtId="0" fontId="32" fillId="14" borderId="1" xfId="9" applyFill="1" applyBorder="1" applyAlignment="1">
      <alignment horizontal="center" vertical="center" shrinkToFit="1"/>
    </xf>
    <xf numFmtId="176" fontId="32" fillId="15" borderId="1" xfId="9" applyNumberFormat="1" applyFill="1" applyBorder="1" applyAlignment="1">
      <alignment horizontal="center" vertical="center"/>
    </xf>
    <xf numFmtId="0" fontId="32" fillId="16" borderId="1" xfId="9" applyFill="1" applyBorder="1" applyAlignment="1">
      <alignment horizontal="center" vertical="center"/>
    </xf>
    <xf numFmtId="0" fontId="32" fillId="24" borderId="0" xfId="9" applyFill="1" applyAlignment="1">
      <alignment horizontal="center" vertical="center" wrapText="1"/>
    </xf>
    <xf numFmtId="0" fontId="32" fillId="24" borderId="0" xfId="9" applyFill="1">
      <alignment vertical="center"/>
    </xf>
    <xf numFmtId="0" fontId="32" fillId="24" borderId="0" xfId="9" applyFill="1" applyAlignment="1">
      <alignment vertical="center" wrapText="1"/>
    </xf>
    <xf numFmtId="0" fontId="32" fillId="0" borderId="0" xfId="9" applyAlignment="1">
      <alignment vertical="center" wrapText="1"/>
    </xf>
    <xf numFmtId="178" fontId="0" fillId="0" borderId="0" xfId="0" applyNumberFormat="1">
      <alignment vertical="center"/>
    </xf>
    <xf numFmtId="0" fontId="25" fillId="20" borderId="0" xfId="0" applyFont="1" applyFill="1" applyAlignment="1">
      <alignment horizontal="left" vertical="center"/>
    </xf>
    <xf numFmtId="0" fontId="14" fillId="20" borderId="35" xfId="0" applyFont="1" applyFill="1" applyBorder="1" applyAlignment="1" applyProtection="1">
      <alignment horizontal="left" vertical="center"/>
      <protection locked="0"/>
    </xf>
    <xf numFmtId="0" fontId="14" fillId="20" borderId="88" xfId="0" applyFont="1" applyFill="1" applyBorder="1" applyAlignment="1" applyProtection="1">
      <alignment horizontal="left" vertical="center"/>
      <protection locked="0"/>
    </xf>
    <xf numFmtId="0" fontId="14" fillId="20" borderId="0" xfId="0" applyFont="1" applyFill="1" applyAlignment="1" applyProtection="1">
      <alignment horizontal="left" vertical="center"/>
      <protection locked="0"/>
    </xf>
    <xf numFmtId="0" fontId="14" fillId="20" borderId="34" xfId="0" applyFont="1" applyFill="1" applyBorder="1" applyAlignment="1" applyProtection="1">
      <alignment horizontal="left" vertical="center" wrapText="1"/>
      <protection locked="0"/>
    </xf>
    <xf numFmtId="0" fontId="11" fillId="20" borderId="34" xfId="0" applyFont="1" applyFill="1" applyBorder="1" applyAlignment="1" applyProtection="1">
      <alignment horizontal="left" vertical="center"/>
      <protection locked="0"/>
    </xf>
    <xf numFmtId="0" fontId="0" fillId="20" borderId="189" xfId="0" applyFill="1" applyBorder="1" applyAlignment="1" applyProtection="1">
      <alignment horizontal="left" vertical="center"/>
      <protection locked="0"/>
    </xf>
    <xf numFmtId="0" fontId="39" fillId="20" borderId="189" xfId="0" applyFont="1" applyFill="1" applyBorder="1" applyAlignment="1" applyProtection="1">
      <alignment horizontal="left" vertical="center"/>
      <protection locked="0"/>
    </xf>
    <xf numFmtId="0" fontId="46" fillId="20" borderId="77" xfId="21" applyFont="1" applyFill="1" applyBorder="1" applyAlignment="1" applyProtection="1">
      <alignment horizontal="left" vertical="center"/>
      <protection locked="0"/>
    </xf>
    <xf numFmtId="0" fontId="46" fillId="20" borderId="115" xfId="21" applyFont="1" applyFill="1" applyBorder="1" applyAlignment="1" applyProtection="1">
      <alignment horizontal="left" vertical="center"/>
      <protection locked="0"/>
    </xf>
    <xf numFmtId="0" fontId="63" fillId="9" borderId="0" xfId="2" applyFont="1" applyFill="1" applyAlignment="1" applyProtection="1">
      <alignment horizontal="left" vertical="center"/>
    </xf>
    <xf numFmtId="0" fontId="14" fillId="9" borderId="34" xfId="0" applyFont="1" applyFill="1" applyBorder="1" applyAlignment="1" applyProtection="1">
      <alignment horizontal="left" vertical="center"/>
      <protection locked="0"/>
    </xf>
    <xf numFmtId="0" fontId="14" fillId="9" borderId="35" xfId="0" applyFont="1" applyFill="1" applyBorder="1" applyAlignment="1" applyProtection="1">
      <alignment horizontal="left" vertical="center"/>
      <protection locked="0"/>
    </xf>
    <xf numFmtId="0" fontId="37" fillId="20" borderId="34" xfId="0" applyFont="1" applyFill="1" applyBorder="1" applyAlignment="1" applyProtection="1">
      <alignment horizontal="left" vertical="center"/>
      <protection locked="0"/>
    </xf>
    <xf numFmtId="0" fontId="14" fillId="0" borderId="34" xfId="0" applyFont="1" applyBorder="1" applyAlignment="1" applyProtection="1">
      <alignment horizontal="left" vertical="center"/>
      <protection locked="0"/>
    </xf>
    <xf numFmtId="0" fontId="14" fillId="0" borderId="35" xfId="0" applyFont="1" applyBorder="1" applyAlignment="1" applyProtection="1">
      <alignment horizontal="left" vertical="center"/>
      <protection locked="0"/>
    </xf>
    <xf numFmtId="0" fontId="37" fillId="20" borderId="34" xfId="0" applyFont="1" applyFill="1" applyBorder="1" applyAlignment="1" applyProtection="1">
      <alignment horizontal="left" vertical="center" wrapText="1"/>
      <protection locked="0"/>
    </xf>
    <xf numFmtId="0" fontId="14" fillId="31" borderId="34" xfId="0" applyFont="1" applyFill="1" applyBorder="1" applyAlignment="1" applyProtection="1">
      <alignment horizontal="left" vertical="center"/>
      <protection locked="0"/>
    </xf>
    <xf numFmtId="0" fontId="14" fillId="31" borderId="35" xfId="0" applyFont="1" applyFill="1" applyBorder="1" applyAlignment="1" applyProtection="1">
      <alignment horizontal="left" vertical="center"/>
      <protection locked="0"/>
    </xf>
    <xf numFmtId="0" fontId="37" fillId="20" borderId="34" xfId="0" applyFont="1" applyFill="1" applyBorder="1" applyAlignment="1" applyProtection="1">
      <alignment horizontal="left" vertical="top"/>
      <protection locked="0"/>
    </xf>
    <xf numFmtId="0" fontId="14" fillId="20" borderId="34" xfId="0" applyFont="1" applyFill="1" applyBorder="1" applyAlignment="1" applyProtection="1">
      <alignment horizontal="left" vertical="top"/>
      <protection locked="0"/>
    </xf>
    <xf numFmtId="0" fontId="14" fillId="20" borderId="34" xfId="0" applyFont="1" applyFill="1" applyBorder="1" applyAlignment="1" applyProtection="1">
      <alignment horizontal="left" vertical="top" wrapText="1"/>
      <protection locked="0"/>
    </xf>
    <xf numFmtId="0" fontId="14" fillId="20" borderId="35" xfId="0" applyFont="1" applyFill="1" applyBorder="1" applyAlignment="1" applyProtection="1">
      <alignment horizontal="left" vertical="top"/>
      <protection locked="0"/>
    </xf>
    <xf numFmtId="0" fontId="20" fillId="20" borderId="34" xfId="0" applyFont="1" applyFill="1" applyBorder="1" applyAlignment="1" applyProtection="1">
      <alignment horizontal="left" vertical="center"/>
      <protection locked="0"/>
    </xf>
    <xf numFmtId="0" fontId="8" fillId="20" borderId="34" xfId="0" applyFont="1" applyFill="1" applyBorder="1" applyAlignment="1" applyProtection="1">
      <alignment horizontal="left" vertical="center"/>
      <protection locked="0"/>
    </xf>
    <xf numFmtId="0" fontId="37" fillId="20" borderId="35" xfId="0" applyFont="1" applyFill="1" applyBorder="1" applyAlignment="1" applyProtection="1">
      <alignment horizontal="left" vertical="center"/>
      <protection locked="0"/>
    </xf>
    <xf numFmtId="0" fontId="14" fillId="20" borderId="96" xfId="0" applyFont="1" applyFill="1" applyBorder="1" applyAlignment="1" applyProtection="1">
      <alignment horizontal="left" vertical="center"/>
      <protection locked="0"/>
    </xf>
    <xf numFmtId="0" fontId="14" fillId="20" borderId="63" xfId="0" applyFont="1" applyFill="1" applyBorder="1" applyAlignment="1">
      <alignment horizontal="left" vertical="center"/>
    </xf>
    <xf numFmtId="0" fontId="14" fillId="20" borderId="34" xfId="0" applyFont="1" applyFill="1" applyBorder="1" applyAlignment="1">
      <alignment horizontal="left" vertical="center"/>
    </xf>
    <xf numFmtId="0" fontId="14" fillId="20" borderId="88" xfId="0" applyFont="1" applyFill="1" applyBorder="1" applyAlignment="1">
      <alignment horizontal="left" vertical="center"/>
    </xf>
    <xf numFmtId="178" fontId="14" fillId="20" borderId="0" xfId="0" applyNumberFormat="1" applyFont="1" applyFill="1">
      <alignment vertical="center"/>
    </xf>
    <xf numFmtId="0" fontId="10" fillId="0" borderId="0" xfId="0" applyFont="1">
      <alignment vertical="center"/>
    </xf>
    <xf numFmtId="0" fontId="10" fillId="0" borderId="0" xfId="0" applyFont="1" applyAlignment="1">
      <alignment vertical="center" wrapText="1"/>
    </xf>
    <xf numFmtId="0" fontId="11" fillId="0" borderId="0" xfId="0" applyFont="1" applyAlignment="1">
      <alignment horizontal="center" vertical="center"/>
    </xf>
    <xf numFmtId="0" fontId="10" fillId="0" borderId="0" xfId="0" applyFont="1" applyAlignment="1">
      <alignment horizontal="right" vertical="center"/>
    </xf>
    <xf numFmtId="0" fontId="11" fillId="20" borderId="0" xfId="0" applyFont="1" applyFill="1" applyAlignment="1">
      <alignment horizontal="left" vertical="center"/>
    </xf>
    <xf numFmtId="0" fontId="10" fillId="20" borderId="0" xfId="0" applyFont="1" applyFill="1" applyAlignment="1">
      <alignment horizontal="left" vertical="center"/>
    </xf>
    <xf numFmtId="0" fontId="11" fillId="20" borderId="63" xfId="0" applyFont="1" applyFill="1" applyBorder="1" applyAlignment="1">
      <alignment horizontal="left" vertical="center"/>
    </xf>
    <xf numFmtId="0" fontId="11" fillId="0" borderId="123" xfId="0" applyFont="1" applyBorder="1" applyAlignment="1">
      <alignment horizontal="center" vertical="center"/>
    </xf>
    <xf numFmtId="0" fontId="38" fillId="0" borderId="0" xfId="0" applyFont="1">
      <alignment vertical="center"/>
    </xf>
    <xf numFmtId="0" fontId="37" fillId="0" borderId="0" xfId="0" applyFont="1">
      <alignment vertical="center"/>
    </xf>
    <xf numFmtId="0" fontId="14" fillId="0" borderId="133" xfId="0" applyFont="1" applyBorder="1">
      <alignment vertical="center"/>
    </xf>
    <xf numFmtId="0" fontId="10" fillId="0" borderId="196" xfId="0" applyFont="1" applyBorder="1">
      <alignment vertical="center"/>
    </xf>
    <xf numFmtId="0" fontId="10" fillId="0" borderId="207" xfId="0" applyFont="1" applyBorder="1">
      <alignment vertical="center"/>
    </xf>
    <xf numFmtId="0" fontId="11" fillId="0" borderId="207" xfId="0" applyFont="1" applyBorder="1">
      <alignment vertical="center"/>
    </xf>
    <xf numFmtId="0" fontId="10" fillId="0" borderId="207" xfId="0" applyFont="1" applyBorder="1" applyAlignment="1">
      <alignment vertical="center" wrapText="1"/>
    </xf>
    <xf numFmtId="0" fontId="0" fillId="0" borderId="197" xfId="0" applyBorder="1" applyAlignment="1">
      <alignment vertical="center" wrapText="1"/>
    </xf>
    <xf numFmtId="0" fontId="10" fillId="0" borderId="15" xfId="0" applyFont="1" applyBorder="1">
      <alignment vertical="center"/>
    </xf>
    <xf numFmtId="0" fontId="10" fillId="0" borderId="10" xfId="0" applyFont="1" applyBorder="1">
      <alignment vertical="center"/>
    </xf>
    <xf numFmtId="0" fontId="11" fillId="0" borderId="10" xfId="0" applyFont="1" applyBorder="1">
      <alignment vertical="center"/>
    </xf>
    <xf numFmtId="0" fontId="10" fillId="0" borderId="10" xfId="0" applyFont="1" applyBorder="1" applyAlignment="1">
      <alignment vertical="center" wrapText="1"/>
    </xf>
    <xf numFmtId="179" fontId="11"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10" fillId="0" borderId="8" xfId="0" applyFont="1" applyBorder="1">
      <alignment vertical="center"/>
    </xf>
    <xf numFmtId="0" fontId="10" fillId="0" borderId="5" xfId="0" applyFont="1" applyBorder="1">
      <alignment vertical="center"/>
    </xf>
    <xf numFmtId="0" fontId="11" fillId="0" borderId="5" xfId="0" applyFont="1" applyBorder="1">
      <alignment vertical="center"/>
    </xf>
    <xf numFmtId="0" fontId="10" fillId="0" borderId="5" xfId="0" applyFont="1" applyBorder="1" applyAlignment="1">
      <alignment vertical="center" wrapText="1"/>
    </xf>
    <xf numFmtId="0" fontId="0" fillId="0" borderId="9" xfId="0" applyBorder="1" applyAlignment="1">
      <alignment vertical="center" wrapText="1"/>
    </xf>
    <xf numFmtId="0" fontId="38" fillId="0" borderId="8" xfId="0" applyFont="1" applyBorder="1">
      <alignment vertical="center"/>
    </xf>
    <xf numFmtId="0" fontId="11" fillId="21" borderId="12" xfId="0" applyFont="1" applyFill="1" applyBorder="1" applyAlignment="1">
      <alignment horizontal="left" vertical="center"/>
    </xf>
    <xf numFmtId="0" fontId="11" fillId="0" borderId="18" xfId="0" applyFont="1" applyBorder="1">
      <alignment vertical="center"/>
    </xf>
    <xf numFmtId="0" fontId="11" fillId="0" borderId="9" xfId="0" applyFont="1" applyBorder="1">
      <alignment vertical="center"/>
    </xf>
    <xf numFmtId="0" fontId="11" fillId="0" borderId="5" xfId="0" applyFont="1" applyBorder="1" applyAlignment="1">
      <alignment horizontal="right" vertical="center" wrapText="1"/>
    </xf>
    <xf numFmtId="0" fontId="0" fillId="0" borderId="18" xfId="0" applyBorder="1" applyAlignment="1">
      <alignment horizontal="left" vertical="center"/>
    </xf>
    <xf numFmtId="0" fontId="11" fillId="0" borderId="23" xfId="0" applyFont="1" applyBorder="1">
      <alignment vertical="center"/>
    </xf>
    <xf numFmtId="0" fontId="11" fillId="0" borderId="10" xfId="0" applyFont="1" applyBorder="1" applyAlignment="1">
      <alignment vertical="center" wrapText="1"/>
    </xf>
    <xf numFmtId="0" fontId="11" fillId="0" borderId="10" xfId="0" applyFont="1" applyBorder="1" applyAlignment="1">
      <alignment horizontal="center" vertical="center" wrapText="1"/>
    </xf>
    <xf numFmtId="0" fontId="14" fillId="0" borderId="10" xfId="0" applyFont="1" applyBorder="1">
      <alignment vertical="center"/>
    </xf>
    <xf numFmtId="0" fontId="14" fillId="0" borderId="9" xfId="0" applyFont="1" applyBorder="1">
      <alignment vertical="center"/>
    </xf>
    <xf numFmtId="0" fontId="11" fillId="0" borderId="5" xfId="0" applyFont="1" applyBorder="1" applyAlignment="1">
      <alignment vertical="center" wrapText="1"/>
    </xf>
    <xf numFmtId="0" fontId="10" fillId="0" borderId="5" xfId="0" applyFont="1" applyBorder="1" applyAlignment="1">
      <alignment horizontal="center" vertical="center"/>
    </xf>
    <xf numFmtId="0" fontId="10" fillId="0" borderId="9" xfId="0" applyFont="1" applyBorder="1">
      <alignment vertical="center"/>
    </xf>
    <xf numFmtId="0" fontId="11" fillId="0" borderId="5" xfId="0" applyFont="1" applyBorder="1" applyAlignment="1">
      <alignment horizontal="center" vertical="center" wrapText="1"/>
    </xf>
    <xf numFmtId="0" fontId="11" fillId="43" borderId="0" xfId="0" applyFont="1" applyFill="1">
      <alignment vertical="center"/>
    </xf>
    <xf numFmtId="0" fontId="11" fillId="0" borderId="5" xfId="0" applyFont="1" applyBorder="1" applyAlignment="1">
      <alignment horizontal="center" vertical="center"/>
    </xf>
    <xf numFmtId="1" fontId="10" fillId="43" borderId="0" xfId="0" applyNumberFormat="1" applyFont="1" applyFill="1">
      <alignment vertical="center"/>
    </xf>
    <xf numFmtId="0" fontId="10" fillId="0" borderId="5" xfId="0" applyFont="1" applyBorder="1" applyAlignment="1">
      <alignment horizontal="left" vertical="center"/>
    </xf>
    <xf numFmtId="0" fontId="11" fillId="0" borderId="5" xfId="0" applyFont="1" applyBorder="1" applyAlignment="1">
      <alignment horizontal="left" vertical="center"/>
    </xf>
    <xf numFmtId="0" fontId="10" fillId="47" borderId="0" xfId="0" applyFont="1" applyFill="1">
      <alignment vertical="center"/>
    </xf>
    <xf numFmtId="0" fontId="10" fillId="0" borderId="5" xfId="0" applyFont="1" applyBorder="1" applyAlignment="1">
      <alignment horizontal="right" vertical="center" wrapText="1"/>
    </xf>
    <xf numFmtId="0" fontId="10" fillId="0" borderId="16" xfId="0" applyFont="1" applyBorder="1" applyAlignment="1">
      <alignment horizontal="right" vertical="center"/>
    </xf>
    <xf numFmtId="0" fontId="10" fillId="43" borderId="0" xfId="0" applyFont="1" applyFill="1">
      <alignment vertical="center"/>
    </xf>
    <xf numFmtId="0" fontId="11" fillId="0" borderId="11" xfId="0" applyFont="1" applyBorder="1" applyAlignment="1">
      <alignment horizontal="center" vertical="center"/>
    </xf>
    <xf numFmtId="0" fontId="0" fillId="0" borderId="11" xfId="0" applyBorder="1" applyAlignment="1">
      <alignment horizontal="center" vertical="center" wrapText="1"/>
    </xf>
    <xf numFmtId="0" fontId="14" fillId="0" borderId="5" xfId="0" applyFont="1" applyBorder="1" applyAlignment="1">
      <alignment vertical="center" wrapText="1"/>
    </xf>
    <xf numFmtId="0" fontId="11" fillId="0" borderId="12" xfId="0" applyFont="1" applyBorder="1" applyAlignment="1">
      <alignment horizontal="center" vertical="center"/>
    </xf>
    <xf numFmtId="0" fontId="10" fillId="0" borderId="5" xfId="0" applyFont="1" applyBorder="1" applyAlignment="1">
      <alignment horizontal="left" vertical="center" readingOrder="1"/>
    </xf>
    <xf numFmtId="0" fontId="10" fillId="0" borderId="5" xfId="0" applyFont="1" applyBorder="1" applyAlignment="1">
      <alignment horizontal="left" vertical="center" wrapText="1" readingOrder="1"/>
    </xf>
    <xf numFmtId="0" fontId="10" fillId="0" borderId="0" xfId="0" applyFont="1" applyAlignment="1">
      <alignment horizontal="left" vertical="center" readingOrder="1"/>
    </xf>
    <xf numFmtId="0" fontId="10" fillId="0" borderId="11" xfId="0" applyFont="1" applyBorder="1" applyAlignment="1">
      <alignment horizontal="left" vertical="center" wrapText="1" readingOrder="1"/>
    </xf>
    <xf numFmtId="0" fontId="10" fillId="0" borderId="0" xfId="0" applyFont="1" applyAlignment="1">
      <alignment horizontal="left" vertical="center" wrapText="1" readingOrder="1"/>
    </xf>
    <xf numFmtId="0" fontId="83" fillId="0" borderId="5" xfId="0" applyFont="1" applyBorder="1">
      <alignment vertical="center"/>
    </xf>
    <xf numFmtId="0" fontId="83" fillId="0" borderId="5" xfId="0" applyFont="1" applyBorder="1" applyAlignment="1">
      <alignment vertical="center" wrapText="1"/>
    </xf>
    <xf numFmtId="0" fontId="90" fillId="43" borderId="0" xfId="0" applyFont="1" applyFill="1">
      <alignment vertical="center"/>
    </xf>
    <xf numFmtId="0" fontId="83" fillId="0" borderId="0" xfId="0" applyFont="1">
      <alignment vertical="center"/>
    </xf>
    <xf numFmtId="0" fontId="81" fillId="0" borderId="0" xfId="0" applyFont="1">
      <alignment vertical="center"/>
    </xf>
    <xf numFmtId="0" fontId="83" fillId="0" borderId="0" xfId="0" applyFont="1" applyAlignment="1">
      <alignment vertical="center" wrapText="1"/>
    </xf>
    <xf numFmtId="0" fontId="81" fillId="0" borderId="0" xfId="0" applyFont="1" applyAlignment="1">
      <alignment vertical="center" wrapText="1"/>
    </xf>
    <xf numFmtId="0" fontId="81" fillId="0" borderId="5" xfId="0" applyFont="1" applyBorder="1">
      <alignment vertical="center"/>
    </xf>
    <xf numFmtId="0" fontId="85" fillId="0" borderId="17" xfId="0" applyFont="1" applyBorder="1">
      <alignment vertical="center"/>
    </xf>
    <xf numFmtId="0" fontId="85" fillId="0" borderId="16" xfId="0" applyFont="1" applyBorder="1">
      <alignment vertical="center"/>
    </xf>
    <xf numFmtId="0" fontId="86" fillId="0" borderId="5" xfId="0" applyFont="1" applyBorder="1">
      <alignment vertical="center"/>
    </xf>
    <xf numFmtId="0" fontId="86" fillId="0" borderId="16" xfId="0" applyFont="1" applyBorder="1">
      <alignment vertical="center"/>
    </xf>
    <xf numFmtId="0" fontId="83" fillId="0" borderId="11" xfId="0" applyFont="1" applyBorder="1">
      <alignment vertical="center"/>
    </xf>
    <xf numFmtId="0" fontId="83" fillId="0" borderId="11" xfId="0" applyFont="1" applyBorder="1" applyAlignment="1">
      <alignment vertical="center" wrapText="1"/>
    </xf>
    <xf numFmtId="0" fontId="11" fillId="0" borderId="10" xfId="0" applyFont="1" applyBorder="1" applyAlignment="1">
      <alignment horizontal="center" vertical="center"/>
    </xf>
    <xf numFmtId="0" fontId="82" fillId="0" borderId="0" xfId="0" applyFont="1">
      <alignment vertical="center"/>
    </xf>
    <xf numFmtId="0" fontId="10" fillId="0" borderId="16" xfId="0" applyFont="1" applyBorder="1">
      <alignment vertical="center"/>
    </xf>
    <xf numFmtId="0" fontId="14" fillId="0" borderId="16" xfId="0" applyFont="1" applyBorder="1" applyAlignment="1">
      <alignment vertical="center" wrapText="1"/>
    </xf>
    <xf numFmtId="0" fontId="10" fillId="0" borderId="16" xfId="0" applyFont="1" applyBorder="1" applyAlignment="1">
      <alignment vertical="center" wrapText="1"/>
    </xf>
    <xf numFmtId="0" fontId="42" fillId="0" borderId="5" xfId="0" applyFont="1" applyBorder="1">
      <alignment vertical="center"/>
    </xf>
    <xf numFmtId="0" fontId="14" fillId="0" borderId="10" xfId="0" applyFont="1" applyBorder="1" applyAlignment="1">
      <alignment vertical="center" wrapText="1"/>
    </xf>
    <xf numFmtId="0" fontId="11" fillId="0" borderId="18" xfId="0" applyFont="1" applyBorder="1" applyAlignment="1">
      <alignment horizontal="center" vertical="center"/>
    </xf>
    <xf numFmtId="0" fontId="11" fillId="0" borderId="16" xfId="0" applyFont="1" applyBorder="1" applyAlignment="1">
      <alignment vertical="center" wrapText="1"/>
    </xf>
    <xf numFmtId="0" fontId="11" fillId="0" borderId="11" xfId="0" applyFont="1" applyBorder="1" applyAlignment="1">
      <alignment vertical="center" wrapText="1"/>
    </xf>
    <xf numFmtId="0" fontId="11" fillId="0" borderId="5" xfId="0" applyFont="1" applyBorder="1" applyAlignment="1">
      <alignment horizontal="right" vertical="center"/>
    </xf>
    <xf numFmtId="0" fontId="10" fillId="0" borderId="5" xfId="0" applyFont="1" applyBorder="1" applyAlignment="1">
      <alignment horizontal="center" vertical="center" wrapText="1"/>
    </xf>
    <xf numFmtId="0" fontId="13" fillId="43" borderId="0" xfId="0" applyFont="1" applyFill="1" applyAlignment="1">
      <alignment horizontal="center" vertical="center" wrapText="1"/>
    </xf>
    <xf numFmtId="181" fontId="11" fillId="0" borderId="1" xfId="0" applyNumberFormat="1" applyFont="1" applyBorder="1" applyAlignment="1">
      <alignment horizontal="center" vertical="center"/>
    </xf>
    <xf numFmtId="0" fontId="13" fillId="0" borderId="0" xfId="0" applyFont="1" applyAlignment="1">
      <alignment horizontal="center" vertical="center" wrapText="1"/>
    </xf>
    <xf numFmtId="0" fontId="10" fillId="0" borderId="31" xfId="0" applyFont="1" applyBorder="1">
      <alignment vertical="center"/>
    </xf>
    <xf numFmtId="0" fontId="11" fillId="0" borderId="11" xfId="0" applyFont="1" applyBorder="1">
      <alignment vertical="center"/>
    </xf>
    <xf numFmtId="0" fontId="10" fillId="0" borderId="11" xfId="0" applyFont="1" applyBorder="1">
      <alignment vertical="center"/>
    </xf>
    <xf numFmtId="0" fontId="10" fillId="0" borderId="11" xfId="0" applyFont="1" applyBorder="1" applyAlignment="1">
      <alignment vertical="center" wrapText="1"/>
    </xf>
    <xf numFmtId="0" fontId="14" fillId="0" borderId="11" xfId="0" applyFont="1" applyBorder="1">
      <alignment vertical="center"/>
    </xf>
    <xf numFmtId="0" fontId="14" fillId="0" borderId="16" xfId="0" applyFont="1" applyBorder="1">
      <alignment vertical="center"/>
    </xf>
    <xf numFmtId="0" fontId="10" fillId="0" borderId="128" xfId="0" applyFont="1" applyBorder="1">
      <alignment vertical="center"/>
    </xf>
    <xf numFmtId="176" fontId="11" fillId="0" borderId="5" xfId="0" applyNumberFormat="1" applyFont="1" applyBorder="1" applyAlignment="1">
      <alignment horizontal="center" vertical="center"/>
    </xf>
    <xf numFmtId="0" fontId="21" fillId="0" borderId="9" xfId="0" applyFont="1" applyBorder="1">
      <alignment vertical="center"/>
    </xf>
    <xf numFmtId="0" fontId="13" fillId="0" borderId="77" xfId="0" applyFont="1" applyBorder="1" applyAlignment="1">
      <alignment vertical="center" wrapText="1"/>
    </xf>
    <xf numFmtId="0" fontId="18" fillId="0" borderId="9" xfId="0" applyFont="1" applyBorder="1">
      <alignment vertical="center"/>
    </xf>
    <xf numFmtId="38" fontId="11" fillId="0" borderId="5" xfId="0" applyNumberFormat="1" applyFont="1" applyBorder="1" applyAlignment="1">
      <alignment horizontal="center" vertical="center"/>
    </xf>
    <xf numFmtId="0" fontId="41" fillId="0" borderId="5" xfId="0" applyFont="1" applyBorder="1" applyAlignment="1">
      <alignment vertical="center" wrapText="1"/>
    </xf>
    <xf numFmtId="0" fontId="13" fillId="43" borderId="77" xfId="0" applyFont="1" applyFill="1" applyBorder="1" applyAlignment="1">
      <alignment vertical="center" wrapText="1"/>
    </xf>
    <xf numFmtId="0" fontId="10" fillId="0" borderId="112" xfId="0" applyFont="1" applyBorder="1">
      <alignment vertical="center"/>
    </xf>
    <xf numFmtId="0" fontId="10" fillId="0" borderId="111" xfId="0" applyFont="1" applyBorder="1">
      <alignment vertical="center"/>
    </xf>
    <xf numFmtId="0" fontId="11" fillId="0" borderId="111" xfId="0" applyFont="1" applyBorder="1">
      <alignment vertical="center"/>
    </xf>
    <xf numFmtId="0" fontId="10" fillId="0" borderId="111" xfId="0" applyFont="1" applyBorder="1" applyAlignment="1">
      <alignment vertical="center" wrapText="1"/>
    </xf>
    <xf numFmtId="0" fontId="11" fillId="0" borderId="111" xfId="0" applyFont="1" applyBorder="1" applyAlignment="1">
      <alignment vertical="center" wrapText="1"/>
    </xf>
    <xf numFmtId="0" fontId="11" fillId="0" borderId="111" xfId="0" applyFont="1" applyBorder="1" applyAlignment="1">
      <alignment horizontal="center" vertical="center"/>
    </xf>
    <xf numFmtId="0" fontId="14" fillId="0" borderId="111" xfId="0" applyFont="1" applyBorder="1">
      <alignment vertical="center"/>
    </xf>
    <xf numFmtId="0" fontId="14" fillId="0" borderId="113" xfId="0" applyFont="1" applyBorder="1">
      <alignment vertical="center"/>
    </xf>
    <xf numFmtId="49" fontId="10" fillId="0" borderId="5" xfId="0" applyNumberFormat="1" applyFont="1" applyBorder="1">
      <alignment vertical="center"/>
    </xf>
    <xf numFmtId="49" fontId="10" fillId="0" borderId="5" xfId="0" applyNumberFormat="1" applyFont="1" applyBorder="1" applyAlignment="1">
      <alignment horizontal="right" vertical="center" wrapText="1"/>
    </xf>
    <xf numFmtId="0" fontId="10" fillId="0" borderId="5" xfId="0" applyFont="1" applyBorder="1" applyAlignment="1">
      <alignment horizontal="left" vertical="center" wrapText="1"/>
    </xf>
    <xf numFmtId="0" fontId="10" fillId="0" borderId="57" xfId="0" applyFont="1" applyBorder="1">
      <alignment vertical="center"/>
    </xf>
    <xf numFmtId="0" fontId="10" fillId="0" borderId="53" xfId="0" applyFont="1" applyBorder="1">
      <alignment vertical="center"/>
    </xf>
    <xf numFmtId="0" fontId="10" fillId="0" borderId="29" xfId="0" applyFont="1" applyBorder="1">
      <alignment vertical="center"/>
    </xf>
    <xf numFmtId="0" fontId="10" fillId="0" borderId="0" xfId="0" applyFont="1" applyAlignment="1">
      <alignment horizontal="center" vertical="center"/>
    </xf>
    <xf numFmtId="0" fontId="10" fillId="0" borderId="21" xfId="0" applyFont="1" applyBorder="1">
      <alignment vertical="center"/>
    </xf>
    <xf numFmtId="0" fontId="10" fillId="0" borderId="26" xfId="0" applyFont="1" applyBorder="1">
      <alignment vertical="center"/>
    </xf>
    <xf numFmtId="0" fontId="10" fillId="0" borderId="11" xfId="0" applyFont="1" applyBorder="1" applyAlignment="1">
      <alignment horizontal="center" vertical="center"/>
    </xf>
    <xf numFmtId="0" fontId="38" fillId="0" borderId="11" xfId="0" applyFont="1" applyBorder="1">
      <alignment vertical="center"/>
    </xf>
    <xf numFmtId="0" fontId="38" fillId="0" borderId="128" xfId="0" applyFont="1" applyBorder="1">
      <alignment vertical="center"/>
    </xf>
    <xf numFmtId="0" fontId="38" fillId="0" borderId="53" xfId="0" applyFont="1" applyBorder="1">
      <alignment vertical="center"/>
    </xf>
    <xf numFmtId="0" fontId="10" fillId="0" borderId="20" xfId="0" applyFont="1" applyBorder="1">
      <alignment vertical="center"/>
    </xf>
    <xf numFmtId="0" fontId="38" fillId="0" borderId="5" xfId="0" applyFont="1" applyBorder="1">
      <alignment vertical="center"/>
    </xf>
    <xf numFmtId="176" fontId="69" fillId="0" borderId="0" xfId="0" applyNumberFormat="1" applyFont="1" applyAlignment="1">
      <alignment horizontal="center" vertical="center"/>
    </xf>
    <xf numFmtId="0" fontId="10" fillId="0" borderId="0" xfId="0" applyFont="1" applyAlignment="1">
      <alignment horizontal="left" vertical="center"/>
    </xf>
    <xf numFmtId="0" fontId="10" fillId="0" borderId="19" xfId="0" applyFont="1" applyBorder="1">
      <alignment vertical="center"/>
    </xf>
    <xf numFmtId="0" fontId="10" fillId="0" borderId="30" xfId="0" applyFont="1" applyBorder="1" applyAlignment="1">
      <alignment horizontal="center" vertical="center"/>
    </xf>
    <xf numFmtId="0" fontId="10" fillId="0" borderId="49" xfId="0" applyFont="1" applyBorder="1" applyAlignment="1">
      <alignment horizontal="center" vertical="center"/>
    </xf>
    <xf numFmtId="0" fontId="10" fillId="0" borderId="20" xfId="0" applyFont="1" applyBorder="1" applyAlignment="1">
      <alignment horizontal="left" vertical="center"/>
    </xf>
    <xf numFmtId="0" fontId="10" fillId="0" borderId="25" xfId="0" applyFont="1" applyBorder="1" applyAlignment="1">
      <alignment horizontal="left" vertical="center"/>
    </xf>
    <xf numFmtId="0" fontId="10" fillId="0" borderId="30" xfId="0" applyFont="1" applyBorder="1" applyAlignment="1">
      <alignment horizontal="center" vertical="center" wrapText="1"/>
    </xf>
    <xf numFmtId="176" fontId="38" fillId="0" borderId="0" xfId="0" applyNumberFormat="1" applyFont="1" applyAlignment="1">
      <alignment horizontal="center" vertical="center"/>
    </xf>
    <xf numFmtId="0" fontId="10" fillId="0" borderId="53" xfId="0" applyFont="1" applyBorder="1" applyAlignment="1">
      <alignment horizontal="left" vertical="center"/>
    </xf>
    <xf numFmtId="0" fontId="10" fillId="0" borderId="26" xfId="0" applyFont="1" applyBorder="1" applyAlignment="1">
      <alignment horizontal="left" vertical="center"/>
    </xf>
    <xf numFmtId="0" fontId="69" fillId="0" borderId="0" xfId="0" applyFont="1">
      <alignment vertical="center"/>
    </xf>
    <xf numFmtId="0" fontId="14" fillId="0" borderId="22" xfId="0" applyFont="1" applyBorder="1">
      <alignment vertical="center"/>
    </xf>
    <xf numFmtId="176" fontId="69" fillId="0" borderId="5" xfId="0" applyNumberFormat="1" applyFont="1" applyBorder="1" applyAlignment="1">
      <alignment horizontal="center" vertical="center"/>
    </xf>
    <xf numFmtId="176" fontId="38" fillId="0" borderId="11" xfId="0" applyNumberFormat="1" applyFont="1" applyBorder="1" applyAlignment="1">
      <alignment horizontal="center" vertical="center"/>
    </xf>
    <xf numFmtId="0" fontId="10" fillId="0" borderId="25" xfId="0" applyFont="1" applyBorder="1">
      <alignment vertical="center"/>
    </xf>
    <xf numFmtId="176" fontId="38" fillId="0" borderId="10" xfId="0" applyNumberFormat="1" applyFont="1" applyBorder="1" applyAlignment="1">
      <alignment horizontal="center" vertical="center"/>
    </xf>
    <xf numFmtId="49" fontId="10" fillId="0" borderId="8" xfId="0" applyNumberFormat="1" applyFont="1" applyBorder="1">
      <alignment vertical="center"/>
    </xf>
    <xf numFmtId="0" fontId="46" fillId="15" borderId="1" xfId="0" applyFont="1" applyFill="1" applyBorder="1" applyAlignment="1" applyProtection="1">
      <alignment horizontal="center" vertical="center"/>
      <protection locked="0"/>
    </xf>
    <xf numFmtId="0" fontId="0" fillId="20" borderId="1" xfId="0" applyFill="1" applyBorder="1" applyAlignment="1">
      <alignment horizontal="center" vertical="center"/>
    </xf>
    <xf numFmtId="0" fontId="0" fillId="20" borderId="0" xfId="0" applyFill="1" applyAlignment="1">
      <alignment horizontal="center" vertical="center" wrapText="1"/>
    </xf>
    <xf numFmtId="0" fontId="39" fillId="20" borderId="0" xfId="0" applyFont="1" applyFill="1">
      <alignment vertical="center"/>
    </xf>
    <xf numFmtId="0" fontId="15" fillId="20" borderId="0" xfId="0" applyFont="1" applyFill="1" applyAlignment="1">
      <alignment horizontal="center" vertical="center"/>
    </xf>
    <xf numFmtId="0" fontId="0" fillId="20" borderId="0" xfId="0" applyFill="1" applyAlignment="1">
      <alignment horizontal="left" vertical="center"/>
    </xf>
    <xf numFmtId="0" fontId="0" fillId="20" borderId="0" xfId="0" applyFill="1" applyAlignment="1">
      <alignment horizontal="center" vertical="center"/>
    </xf>
    <xf numFmtId="0" fontId="72" fillId="20" borderId="0" xfId="0" applyFont="1" applyFill="1">
      <alignment vertical="center"/>
    </xf>
    <xf numFmtId="0" fontId="36" fillId="20" borderId="0" xfId="0" applyFont="1" applyFill="1" applyAlignment="1">
      <alignment horizontal="center" vertical="center" wrapText="1"/>
    </xf>
    <xf numFmtId="0" fontId="72" fillId="42" borderId="0" xfId="0" applyFont="1" applyFill="1" applyAlignment="1">
      <alignment horizontal="left" vertical="center"/>
    </xf>
    <xf numFmtId="0" fontId="0" fillId="42" borderId="0" xfId="0" quotePrefix="1" applyFill="1" applyAlignment="1">
      <alignment horizontal="center" vertical="center"/>
    </xf>
    <xf numFmtId="0" fontId="72" fillId="42" borderId="176" xfId="0" applyFont="1" applyFill="1" applyBorder="1" applyAlignment="1">
      <alignment vertical="center" wrapText="1"/>
    </xf>
    <xf numFmtId="0" fontId="72" fillId="42" borderId="0" xfId="0" applyFont="1" applyFill="1" applyAlignment="1">
      <alignment horizontal="center" vertical="center" wrapText="1"/>
    </xf>
    <xf numFmtId="0" fontId="72" fillId="42" borderId="176" xfId="0" applyFont="1" applyFill="1" applyBorder="1" applyAlignment="1">
      <alignment horizontal="center" vertical="center" wrapText="1"/>
    </xf>
    <xf numFmtId="0" fontId="72" fillId="42" borderId="21" xfId="0" applyFont="1" applyFill="1" applyBorder="1" applyAlignment="1">
      <alignment horizontal="center" vertical="center" wrapText="1"/>
    </xf>
    <xf numFmtId="0" fontId="0" fillId="20" borderId="188" xfId="0" applyFill="1" applyBorder="1" applyAlignment="1">
      <alignment horizontal="left" vertical="center"/>
    </xf>
    <xf numFmtId="0" fontId="0" fillId="40" borderId="207" xfId="0" applyFill="1" applyBorder="1" applyAlignment="1">
      <alignment horizontal="left" vertical="center"/>
    </xf>
    <xf numFmtId="0" fontId="0" fillId="40" borderId="207" xfId="0" applyFill="1" applyBorder="1" applyAlignment="1">
      <alignment horizontal="center" vertical="center"/>
    </xf>
    <xf numFmtId="0" fontId="0" fillId="40" borderId="197" xfId="0" applyFill="1" applyBorder="1">
      <alignment vertical="center"/>
    </xf>
    <xf numFmtId="0" fontId="0" fillId="40" borderId="197" xfId="0" applyFill="1" applyBorder="1" applyAlignment="1">
      <alignment horizontal="center" vertical="center"/>
    </xf>
    <xf numFmtId="0" fontId="0" fillId="40" borderId="197" xfId="0" applyFill="1" applyBorder="1" applyAlignment="1">
      <alignment horizontal="left" vertical="center" wrapText="1"/>
    </xf>
    <xf numFmtId="0" fontId="0" fillId="20" borderId="198" xfId="0" applyFill="1" applyBorder="1" applyAlignment="1">
      <alignment horizontal="left" vertical="center" wrapText="1"/>
    </xf>
    <xf numFmtId="0" fontId="15" fillId="20" borderId="123" xfId="0" applyFont="1" applyFill="1" applyBorder="1" applyAlignment="1">
      <alignment horizontal="center" vertical="center"/>
    </xf>
    <xf numFmtId="0" fontId="0" fillId="20" borderId="141" xfId="0" applyFill="1" applyBorder="1" applyAlignment="1">
      <alignment horizontal="left" vertical="center" wrapText="1"/>
    </xf>
    <xf numFmtId="0" fontId="0" fillId="20" borderId="128" xfId="0" applyFill="1" applyBorder="1" applyAlignment="1">
      <alignment horizontal="center" vertical="center"/>
    </xf>
    <xf numFmtId="0" fontId="0" fillId="39" borderId="196" xfId="0" quotePrefix="1" applyFill="1" applyBorder="1" applyAlignment="1">
      <alignment horizontal="center" vertical="center"/>
    </xf>
    <xf numFmtId="0" fontId="0" fillId="39" borderId="207" xfId="0" applyFill="1" applyBorder="1" applyAlignment="1">
      <alignment horizontal="left" vertical="center"/>
    </xf>
    <xf numFmtId="0" fontId="0" fillId="39" borderId="207" xfId="0" applyFill="1" applyBorder="1" applyAlignment="1">
      <alignment horizontal="center" vertical="center"/>
    </xf>
    <xf numFmtId="0" fontId="0" fillId="39" borderId="197" xfId="0" applyFill="1" applyBorder="1" applyAlignment="1">
      <alignment vertical="center" wrapText="1"/>
    </xf>
    <xf numFmtId="0" fontId="0" fillId="39" borderId="197" xfId="0" applyFill="1" applyBorder="1" applyAlignment="1">
      <alignment horizontal="center" vertical="center" wrapText="1"/>
    </xf>
    <xf numFmtId="0" fontId="0" fillId="39" borderId="197" xfId="0" applyFill="1" applyBorder="1" applyAlignment="1">
      <alignment horizontal="left" vertical="center" wrapText="1"/>
    </xf>
    <xf numFmtId="0" fontId="0" fillId="41" borderId="207" xfId="0" applyFill="1" applyBorder="1" applyAlignment="1">
      <alignment horizontal="center" vertical="center"/>
    </xf>
    <xf numFmtId="0" fontId="0" fillId="41" borderId="197" xfId="0" applyFill="1" applyBorder="1" applyAlignment="1">
      <alignment vertical="center" wrapText="1"/>
    </xf>
    <xf numFmtId="0" fontId="0" fillId="41" borderId="197" xfId="0" applyFill="1" applyBorder="1" applyAlignment="1">
      <alignment horizontal="center" vertical="center" wrapText="1"/>
    </xf>
    <xf numFmtId="0" fontId="0" fillId="41" borderId="197" xfId="0" applyFill="1" applyBorder="1" applyAlignment="1">
      <alignment horizontal="left" vertical="center" wrapText="1"/>
    </xf>
    <xf numFmtId="0" fontId="0" fillId="20" borderId="198" xfId="0" applyFill="1" applyBorder="1" applyAlignment="1">
      <alignment vertical="center" wrapText="1"/>
    </xf>
    <xf numFmtId="0" fontId="0" fillId="20" borderId="198" xfId="0" applyFill="1" applyBorder="1" applyAlignment="1">
      <alignment horizontal="center" vertical="center" wrapText="1"/>
    </xf>
    <xf numFmtId="0" fontId="0" fillId="20" borderId="89" xfId="0" applyFill="1" applyBorder="1" applyAlignment="1">
      <alignment horizontal="center" vertical="center"/>
    </xf>
    <xf numFmtId="0" fontId="0" fillId="20" borderId="158" xfId="0" applyFill="1" applyBorder="1" applyAlignment="1">
      <alignment horizontal="center" vertical="center" wrapText="1"/>
    </xf>
    <xf numFmtId="0" fontId="0" fillId="20" borderId="146" xfId="0" applyFill="1" applyBorder="1" applyAlignment="1">
      <alignment horizontal="center" vertical="center" wrapText="1"/>
    </xf>
    <xf numFmtId="0" fontId="0" fillId="20" borderId="146" xfId="0" applyFill="1" applyBorder="1" applyAlignment="1">
      <alignment horizontal="left" vertical="center" wrapText="1"/>
    </xf>
    <xf numFmtId="0" fontId="0" fillId="20" borderId="143" xfId="0" applyFill="1" applyBorder="1" applyAlignment="1">
      <alignment horizontal="center" vertical="center" wrapText="1"/>
    </xf>
    <xf numFmtId="0" fontId="0" fillId="20" borderId="143" xfId="0" applyFill="1" applyBorder="1" applyAlignment="1">
      <alignment horizontal="left" vertical="center" wrapText="1"/>
    </xf>
    <xf numFmtId="0" fontId="0" fillId="20" borderId="135" xfId="0" applyFill="1" applyBorder="1" applyAlignment="1">
      <alignment horizontal="center" vertical="center" wrapText="1"/>
    </xf>
    <xf numFmtId="0" fontId="0" fillId="20" borderId="135" xfId="0" applyFill="1" applyBorder="1" applyAlignment="1">
      <alignment horizontal="left" vertical="center" wrapText="1"/>
    </xf>
    <xf numFmtId="0" fontId="0" fillId="43" borderId="0" xfId="0" applyFill="1">
      <alignment vertical="center"/>
    </xf>
    <xf numFmtId="0" fontId="0" fillId="47" borderId="0" xfId="0" applyFill="1">
      <alignment vertical="center"/>
    </xf>
    <xf numFmtId="0" fontId="0" fillId="20" borderId="123" xfId="0" applyFill="1" applyBorder="1" applyAlignment="1">
      <alignment horizontal="center" vertical="center" wrapText="1"/>
    </xf>
    <xf numFmtId="0" fontId="0" fillId="20" borderId="123" xfId="0" applyFill="1" applyBorder="1" applyAlignment="1">
      <alignment horizontal="left" vertical="center" wrapText="1"/>
    </xf>
    <xf numFmtId="0" fontId="0" fillId="20" borderId="152" xfId="0" applyFill="1" applyBorder="1" applyAlignment="1">
      <alignment horizontal="center" vertical="center" wrapText="1"/>
    </xf>
    <xf numFmtId="0" fontId="0" fillId="20" borderId="152" xfId="0" applyFill="1" applyBorder="1" applyAlignment="1">
      <alignment horizontal="left" vertical="center" wrapText="1"/>
    </xf>
    <xf numFmtId="0" fontId="0" fillId="20" borderId="171" xfId="0" applyFill="1" applyBorder="1" applyAlignment="1">
      <alignment horizontal="left" vertical="center" wrapText="1"/>
    </xf>
    <xf numFmtId="0" fontId="0" fillId="20" borderId="43" xfId="0" applyFill="1" applyBorder="1" applyAlignment="1">
      <alignment horizontal="left" vertical="center" wrapText="1"/>
    </xf>
    <xf numFmtId="0" fontId="0" fillId="20" borderId="151" xfId="0" applyFill="1" applyBorder="1" applyAlignment="1">
      <alignment horizontal="left" vertical="center" wrapText="1"/>
    </xf>
    <xf numFmtId="58" fontId="0" fillId="20" borderId="198" xfId="0" applyNumberFormat="1" applyFill="1" applyBorder="1" applyAlignment="1">
      <alignment horizontal="left" vertical="center" wrapText="1"/>
    </xf>
    <xf numFmtId="0" fontId="0" fillId="20" borderId="151" xfId="0" applyFill="1" applyBorder="1" applyAlignment="1">
      <alignment horizontal="center" vertical="center" wrapText="1"/>
    </xf>
    <xf numFmtId="0" fontId="0" fillId="20" borderId="163" xfId="0" applyFill="1" applyBorder="1" applyAlignment="1">
      <alignment horizontal="left" vertical="center" wrapText="1"/>
    </xf>
    <xf numFmtId="0" fontId="0" fillId="20" borderId="212" xfId="0" applyFill="1" applyBorder="1" applyAlignment="1">
      <alignment horizontal="left" vertical="center" wrapText="1"/>
    </xf>
    <xf numFmtId="0" fontId="0" fillId="20" borderId="144" xfId="0" applyFill="1" applyBorder="1" applyAlignment="1">
      <alignment horizontal="left" vertical="center" wrapText="1"/>
    </xf>
    <xf numFmtId="0" fontId="0" fillId="20" borderId="142" xfId="0" applyFill="1" applyBorder="1" applyAlignment="1">
      <alignment horizontal="left" vertical="center" wrapText="1"/>
    </xf>
    <xf numFmtId="0" fontId="0" fillId="20" borderId="145" xfId="0" applyFill="1" applyBorder="1" applyAlignment="1">
      <alignment horizontal="center" vertical="center" wrapText="1"/>
    </xf>
    <xf numFmtId="0" fontId="0" fillId="20" borderId="145" xfId="0" applyFill="1" applyBorder="1" applyAlignment="1">
      <alignment horizontal="left" vertical="center" wrapText="1"/>
    </xf>
    <xf numFmtId="0" fontId="0" fillId="20" borderId="116" xfId="0" applyFill="1" applyBorder="1" applyAlignment="1">
      <alignment horizontal="center" vertical="center" wrapText="1"/>
    </xf>
    <xf numFmtId="0" fontId="0" fillId="20" borderId="157" xfId="0" applyFill="1" applyBorder="1" applyAlignment="1">
      <alignment horizontal="center" vertical="center" wrapText="1"/>
    </xf>
    <xf numFmtId="0" fontId="0" fillId="20" borderId="162" xfId="0" applyFill="1" applyBorder="1" applyAlignment="1">
      <alignment horizontal="left" vertical="center" wrapText="1"/>
    </xf>
    <xf numFmtId="0" fontId="0" fillId="20" borderId="154" xfId="0" applyFill="1" applyBorder="1" applyAlignment="1">
      <alignment horizontal="center" vertical="center" wrapText="1"/>
    </xf>
    <xf numFmtId="0" fontId="0" fillId="20" borderId="187" xfId="0" applyFill="1" applyBorder="1" applyAlignment="1">
      <alignment horizontal="left" vertical="center" wrapText="1"/>
    </xf>
    <xf numFmtId="0" fontId="0" fillId="20" borderId="169" xfId="0" applyFill="1" applyBorder="1" applyAlignment="1">
      <alignment horizontal="center" vertical="center" wrapText="1"/>
    </xf>
    <xf numFmtId="0" fontId="0" fillId="20" borderId="156" xfId="0" applyFill="1" applyBorder="1" applyAlignment="1">
      <alignment horizontal="left" vertical="center" wrapText="1"/>
    </xf>
    <xf numFmtId="0" fontId="0" fillId="20" borderId="168" xfId="0" applyFill="1" applyBorder="1" applyAlignment="1">
      <alignment horizontal="center" vertical="center" wrapText="1"/>
    </xf>
    <xf numFmtId="0" fontId="0" fillId="20" borderId="170" xfId="0" applyFill="1" applyBorder="1" applyAlignment="1">
      <alignment horizontal="left" vertical="center" wrapText="1"/>
    </xf>
    <xf numFmtId="0" fontId="0" fillId="20" borderId="212" xfId="0" applyFill="1" applyBorder="1" applyAlignment="1">
      <alignment horizontal="center" vertical="center" wrapText="1"/>
    </xf>
    <xf numFmtId="0" fontId="0" fillId="20" borderId="159" xfId="0" applyFill="1" applyBorder="1" applyAlignment="1">
      <alignment horizontal="center" vertical="center" wrapText="1"/>
    </xf>
    <xf numFmtId="0" fontId="0" fillId="20" borderId="21" xfId="0" applyFill="1" applyBorder="1" applyAlignment="1">
      <alignment horizontal="center" vertical="center" wrapText="1"/>
    </xf>
    <xf numFmtId="0" fontId="0" fillId="20" borderId="21" xfId="0" applyFill="1" applyBorder="1" applyAlignment="1">
      <alignment horizontal="left" vertical="center" wrapText="1"/>
    </xf>
    <xf numFmtId="3" fontId="0" fillId="47" borderId="0" xfId="0" applyNumberFormat="1" applyFill="1">
      <alignment vertical="center"/>
    </xf>
    <xf numFmtId="0" fontId="0" fillId="20" borderId="167" xfId="0" applyFill="1" applyBorder="1" applyAlignment="1">
      <alignment horizontal="center" vertical="center" wrapText="1"/>
    </xf>
    <xf numFmtId="0" fontId="0" fillId="20" borderId="166" xfId="0" applyFill="1" applyBorder="1" applyAlignment="1">
      <alignment horizontal="left" vertical="center" wrapText="1"/>
    </xf>
    <xf numFmtId="0" fontId="0" fillId="20" borderId="166" xfId="0" applyFill="1" applyBorder="1" applyAlignment="1">
      <alignment horizontal="right" vertical="center" wrapText="1"/>
    </xf>
    <xf numFmtId="0" fontId="0" fillId="41" borderId="128" xfId="0" applyFill="1" applyBorder="1" applyAlignment="1">
      <alignment horizontal="center" vertical="center"/>
    </xf>
    <xf numFmtId="0" fontId="0" fillId="41" borderId="0" xfId="0" applyFill="1" applyAlignment="1">
      <alignment horizontal="center" vertical="center"/>
    </xf>
    <xf numFmtId="0" fontId="0" fillId="41" borderId="133" xfId="0" applyFill="1" applyBorder="1" applyAlignment="1">
      <alignment horizontal="center" vertical="center"/>
    </xf>
    <xf numFmtId="0" fontId="0" fillId="39" borderId="196" xfId="0" applyFill="1" applyBorder="1" applyAlignment="1">
      <alignment horizontal="center" vertical="center"/>
    </xf>
    <xf numFmtId="0" fontId="0" fillId="39" borderId="128" xfId="0" applyFill="1" applyBorder="1" applyAlignment="1">
      <alignment horizontal="center" vertical="center"/>
    </xf>
    <xf numFmtId="0" fontId="0" fillId="39" borderId="0" xfId="0" applyFill="1" applyAlignment="1">
      <alignment horizontal="center" vertical="center"/>
    </xf>
    <xf numFmtId="0" fontId="0" fillId="20" borderId="161" xfId="0" applyFill="1" applyBorder="1" applyAlignment="1">
      <alignment horizontal="left" vertical="center" wrapText="1"/>
    </xf>
    <xf numFmtId="180" fontId="0" fillId="20" borderId="1" xfId="22" applyNumberFormat="1" applyFont="1" applyFill="1" applyBorder="1" applyAlignment="1" applyProtection="1">
      <alignment horizontal="center" vertical="center" wrapText="1"/>
    </xf>
    <xf numFmtId="0" fontId="0" fillId="39" borderId="124" xfId="0" applyFill="1" applyBorder="1" applyAlignment="1">
      <alignment horizontal="center" vertical="center"/>
    </xf>
    <xf numFmtId="0" fontId="0" fillId="39" borderId="125" xfId="0" applyFill="1" applyBorder="1" applyAlignment="1">
      <alignment horizontal="center" vertical="center"/>
    </xf>
    <xf numFmtId="0" fontId="0" fillId="39" borderId="89" xfId="0" applyFill="1" applyBorder="1" applyAlignment="1">
      <alignment horizontal="center" vertical="center"/>
    </xf>
    <xf numFmtId="0" fontId="0" fillId="39" borderId="133" xfId="0" applyFill="1" applyBorder="1" applyAlignment="1">
      <alignment horizontal="center" vertical="center"/>
    </xf>
    <xf numFmtId="0" fontId="0" fillId="39" borderId="134" xfId="0" applyFill="1" applyBorder="1" applyAlignment="1">
      <alignment horizontal="center" vertical="center"/>
    </xf>
    <xf numFmtId="0" fontId="0" fillId="41" borderId="134" xfId="0" applyFill="1" applyBorder="1" applyAlignment="1">
      <alignment horizontal="center" vertical="center"/>
    </xf>
    <xf numFmtId="0" fontId="0" fillId="0" borderId="198" xfId="0" applyBorder="1" applyAlignment="1">
      <alignment horizontal="center" vertical="center" wrapText="1"/>
    </xf>
    <xf numFmtId="0" fontId="0" fillId="0" borderId="166" xfId="0" applyBorder="1" applyAlignment="1">
      <alignment horizontal="center" vertical="center" wrapText="1"/>
    </xf>
    <xf numFmtId="0" fontId="0" fillId="20" borderId="161" xfId="0" applyFill="1" applyBorder="1" applyAlignment="1">
      <alignment horizontal="right" vertical="center" wrapText="1"/>
    </xf>
    <xf numFmtId="0" fontId="0" fillId="0" borderId="161" xfId="0" applyBorder="1" applyAlignment="1">
      <alignment horizontal="center" vertical="center" wrapText="1"/>
    </xf>
    <xf numFmtId="38" fontId="0" fillId="44" borderId="123" xfId="24" applyFont="1" applyFill="1" applyBorder="1" applyProtection="1">
      <alignment vertical="center"/>
      <protection locked="0"/>
    </xf>
    <xf numFmtId="0" fontId="62" fillId="9" borderId="0" xfId="0" applyFont="1" applyFill="1">
      <alignment vertical="center"/>
    </xf>
    <xf numFmtId="0" fontId="0" fillId="9" borderId="0" xfId="0" applyFill="1">
      <alignment vertical="center"/>
    </xf>
    <xf numFmtId="0" fontId="7" fillId="4" borderId="39" xfId="0" applyFont="1" applyFill="1" applyBorder="1" applyAlignment="1">
      <alignment horizontal="center" vertical="center"/>
    </xf>
    <xf numFmtId="0" fontId="39" fillId="20" borderId="0" xfId="0" applyFont="1" applyFill="1" applyAlignment="1">
      <alignment horizontal="left" vertical="top" wrapText="1"/>
    </xf>
    <xf numFmtId="0" fontId="14" fillId="20" borderId="36" xfId="0" applyFont="1" applyFill="1" applyBorder="1" applyAlignment="1">
      <alignment horizontal="left" vertical="center"/>
    </xf>
    <xf numFmtId="0" fontId="0" fillId="9" borderId="0" xfId="0" applyFill="1" applyAlignment="1">
      <alignment horizontal="right" vertical="center"/>
    </xf>
    <xf numFmtId="0" fontId="39" fillId="20" borderId="96" xfId="0" applyFont="1" applyFill="1" applyBorder="1" applyAlignment="1">
      <alignment horizontal="left" vertical="top" wrapText="1"/>
    </xf>
    <xf numFmtId="0" fontId="14" fillId="2" borderId="123" xfId="0" applyFont="1" applyFill="1" applyBorder="1">
      <alignment vertical="center"/>
    </xf>
    <xf numFmtId="0" fontId="15" fillId="2" borderId="50" xfId="0" applyFont="1" applyFill="1" applyBorder="1" applyAlignment="1">
      <alignment horizontal="center" vertical="center" wrapText="1"/>
    </xf>
    <xf numFmtId="0" fontId="14" fillId="2" borderId="198" xfId="0" applyFont="1" applyFill="1" applyBorder="1" applyAlignment="1">
      <alignment horizontal="center" vertical="center" wrapText="1"/>
    </xf>
    <xf numFmtId="0" fontId="15" fillId="2" borderId="207" xfId="0" applyFont="1" applyFill="1" applyBorder="1" applyAlignment="1">
      <alignment horizontal="center" vertical="center" wrapText="1"/>
    </xf>
    <xf numFmtId="0" fontId="14" fillId="0" borderId="124" xfId="0" applyFont="1" applyBorder="1" applyAlignment="1">
      <alignment horizontal="center" vertical="center"/>
    </xf>
    <xf numFmtId="0" fontId="14" fillId="20" borderId="1" xfId="0" applyFont="1" applyFill="1" applyBorder="1" applyAlignment="1">
      <alignment horizontal="center" vertical="center" wrapText="1"/>
    </xf>
    <xf numFmtId="0" fontId="14" fillId="0" borderId="1" xfId="0" applyFont="1" applyBorder="1" applyAlignment="1">
      <alignment horizontal="left" vertical="center" wrapText="1"/>
    </xf>
    <xf numFmtId="0" fontId="14" fillId="20" borderId="1" xfId="0" applyFont="1" applyFill="1" applyBorder="1" applyAlignment="1">
      <alignment horizontal="left" vertical="center" wrapText="1"/>
    </xf>
    <xf numFmtId="0" fontId="62" fillId="0" borderId="0" xfId="0" applyFont="1">
      <alignment vertical="center"/>
    </xf>
    <xf numFmtId="0" fontId="14" fillId="2" borderId="124" xfId="0" applyFont="1" applyFill="1" applyBorder="1" applyAlignment="1">
      <alignment horizontal="center" vertical="center"/>
    </xf>
    <xf numFmtId="0" fontId="62" fillId="0" borderId="52" xfId="0" applyFont="1" applyBorder="1" applyAlignment="1">
      <alignment vertical="top" wrapText="1"/>
    </xf>
    <xf numFmtId="0" fontId="39" fillId="0" borderId="0" xfId="0" applyFont="1" applyAlignment="1">
      <alignment vertical="top"/>
    </xf>
    <xf numFmtId="0" fontId="36" fillId="20" borderId="0" xfId="0" applyFont="1" applyFill="1" applyAlignment="1">
      <alignment horizontal="left" vertical="center"/>
    </xf>
    <xf numFmtId="0" fontId="39" fillId="0" borderId="0" xfId="0" applyFont="1" applyAlignment="1">
      <alignment vertical="top" wrapText="1"/>
    </xf>
    <xf numFmtId="178" fontId="0" fillId="20" borderId="0" xfId="0" applyNumberFormat="1" applyFill="1">
      <alignment vertical="center"/>
    </xf>
    <xf numFmtId="0" fontId="0" fillId="20" borderId="0" xfId="0" applyFill="1" applyAlignment="1" applyProtection="1">
      <alignment horizontal="center" vertical="center"/>
      <protection locked="0"/>
    </xf>
    <xf numFmtId="0" fontId="16" fillId="10" borderId="0" xfId="0" applyFont="1" applyFill="1" applyAlignment="1">
      <alignment horizontal="center" vertical="center"/>
    </xf>
    <xf numFmtId="0" fontId="46" fillId="0" borderId="0" xfId="21" applyFont="1">
      <alignment vertical="center"/>
    </xf>
    <xf numFmtId="0" fontId="0" fillId="10" borderId="0" xfId="0" applyFill="1">
      <alignment vertical="center"/>
    </xf>
    <xf numFmtId="179" fontId="0" fillId="0" borderId="0" xfId="0" applyNumberFormat="1">
      <alignment vertical="center"/>
    </xf>
    <xf numFmtId="179" fontId="0" fillId="20" borderId="0" xfId="0" applyNumberFormat="1" applyFill="1">
      <alignment vertical="center"/>
    </xf>
    <xf numFmtId="0" fontId="0" fillId="10" borderId="0" xfId="0" applyFill="1" applyAlignment="1">
      <alignment horizontal="right" vertical="center"/>
    </xf>
    <xf numFmtId="0" fontId="0" fillId="0" borderId="207" xfId="0" applyBorder="1">
      <alignment vertical="center"/>
    </xf>
    <xf numFmtId="179" fontId="0" fillId="20" borderId="0" xfId="0" applyNumberFormat="1" applyFill="1" applyAlignment="1">
      <alignment horizontal="left" vertical="center"/>
    </xf>
    <xf numFmtId="0" fontId="46" fillId="20" borderId="0" xfId="21" applyFont="1" applyFill="1">
      <alignment vertical="center"/>
    </xf>
    <xf numFmtId="0" fontId="46" fillId="20" borderId="0" xfId="21" applyFont="1" applyFill="1" applyAlignment="1">
      <alignment horizontal="left" vertical="center"/>
    </xf>
    <xf numFmtId="0" fontId="46" fillId="0" borderId="0" xfId="21" applyFont="1" applyAlignment="1">
      <alignment horizontal="right" vertical="center"/>
    </xf>
    <xf numFmtId="0" fontId="71" fillId="0" borderId="0" xfId="21" applyFont="1">
      <alignment vertical="center"/>
    </xf>
    <xf numFmtId="0" fontId="46" fillId="15" borderId="123" xfId="21" applyFont="1" applyFill="1" applyBorder="1">
      <alignment vertical="center"/>
    </xf>
    <xf numFmtId="0" fontId="46" fillId="15" borderId="197" xfId="21" applyFont="1" applyFill="1" applyBorder="1">
      <alignment vertical="center"/>
    </xf>
    <xf numFmtId="0" fontId="46" fillId="15" borderId="21" xfId="21" applyFont="1" applyFill="1" applyBorder="1">
      <alignment vertical="center"/>
    </xf>
    <xf numFmtId="0" fontId="46" fillId="15" borderId="123" xfId="21" applyFont="1" applyFill="1" applyBorder="1" applyAlignment="1">
      <alignment horizontal="center" vertical="center" wrapText="1"/>
    </xf>
    <xf numFmtId="0" fontId="46" fillId="15" borderId="134" xfId="21" applyFont="1" applyFill="1" applyBorder="1">
      <alignment vertical="center"/>
    </xf>
    <xf numFmtId="0" fontId="46" fillId="20" borderId="123" xfId="23" applyFont="1" applyFill="1" applyBorder="1">
      <alignment vertical="center"/>
    </xf>
    <xf numFmtId="0" fontId="46" fillId="38" borderId="123" xfId="23" applyFont="1" applyFill="1" applyBorder="1" applyAlignment="1">
      <alignment horizontal="center" vertical="center"/>
    </xf>
    <xf numFmtId="0" fontId="62" fillId="0" borderId="0" xfId="0" applyFont="1" applyAlignment="1">
      <alignment vertical="top" wrapText="1"/>
    </xf>
    <xf numFmtId="0" fontId="91" fillId="20" borderId="123" xfId="0" applyFont="1" applyFill="1" applyBorder="1">
      <alignment vertical="center"/>
    </xf>
    <xf numFmtId="0" fontId="5" fillId="0" borderId="0" xfId="23">
      <alignment vertical="center"/>
    </xf>
    <xf numFmtId="0" fontId="46" fillId="0" borderId="0" xfId="23" applyFont="1">
      <alignment vertical="center"/>
    </xf>
    <xf numFmtId="0" fontId="46" fillId="0" borderId="123" xfId="23" applyFont="1" applyBorder="1">
      <alignment vertical="center"/>
    </xf>
    <xf numFmtId="179" fontId="39" fillId="0" borderId="0" xfId="0" applyNumberFormat="1" applyFont="1" applyAlignment="1">
      <alignment horizontal="left" vertical="top" wrapText="1"/>
    </xf>
    <xf numFmtId="0" fontId="14" fillId="10" borderId="0" xfId="0" applyFont="1" applyFill="1">
      <alignment vertical="center"/>
    </xf>
    <xf numFmtId="0" fontId="14" fillId="10" borderId="0" xfId="0" applyFont="1" applyFill="1" applyAlignment="1">
      <alignment vertical="center" wrapText="1"/>
    </xf>
    <xf numFmtId="179" fontId="14" fillId="20" borderId="0" xfId="0" applyNumberFormat="1" applyFont="1" applyFill="1" applyAlignment="1">
      <alignment vertical="center" wrapText="1"/>
    </xf>
    <xf numFmtId="0" fontId="14" fillId="0" borderId="0" xfId="0" applyFont="1" applyAlignment="1">
      <alignment vertical="center" wrapText="1"/>
    </xf>
    <xf numFmtId="0" fontId="14" fillId="9" borderId="0" xfId="0" applyFont="1" applyFill="1">
      <alignment vertical="center"/>
    </xf>
    <xf numFmtId="179" fontId="0" fillId="20" borderId="0" xfId="0" applyNumberFormat="1" applyFill="1" applyAlignment="1">
      <alignment vertical="center" wrapText="1"/>
    </xf>
    <xf numFmtId="0" fontId="14" fillId="9" borderId="0" xfId="0" applyFont="1" applyFill="1" applyAlignment="1">
      <alignment horizontal="left" vertical="center"/>
    </xf>
    <xf numFmtId="0" fontId="14" fillId="9" borderId="133" xfId="0" applyFont="1" applyFill="1" applyBorder="1" applyAlignment="1">
      <alignment horizontal="left" vertical="center"/>
    </xf>
    <xf numFmtId="0" fontId="14" fillId="0" borderId="0" xfId="0" applyFont="1" applyAlignment="1">
      <alignment horizontal="center" vertical="center"/>
    </xf>
    <xf numFmtId="0" fontId="14" fillId="2" borderId="0" xfId="0" applyFont="1" applyFill="1" applyAlignment="1">
      <alignment horizontal="center" vertical="center"/>
    </xf>
    <xf numFmtId="0" fontId="14" fillId="2" borderId="198" xfId="0" applyFont="1" applyFill="1" applyBorder="1" applyAlignment="1">
      <alignment horizontal="center" vertical="center"/>
    </xf>
    <xf numFmtId="0" fontId="14" fillId="20" borderId="182" xfId="0" applyFont="1" applyFill="1" applyBorder="1" applyAlignment="1">
      <alignment horizontal="center" vertical="center" wrapText="1"/>
    </xf>
    <xf numFmtId="0" fontId="14" fillId="0" borderId="0" xfId="0" applyFont="1" applyAlignment="1">
      <alignment horizontal="center" vertical="center" wrapText="1"/>
    </xf>
    <xf numFmtId="0" fontId="14" fillId="10" borderId="0" xfId="0" applyFont="1" applyFill="1" applyAlignment="1">
      <alignment horizontal="center" vertical="center" wrapText="1"/>
    </xf>
    <xf numFmtId="0" fontId="14" fillId="9" borderId="43" xfId="0" applyFont="1" applyFill="1" applyBorder="1" applyAlignment="1">
      <alignment horizontal="center" vertical="center" wrapText="1"/>
    </xf>
    <xf numFmtId="0" fontId="14" fillId="14" borderId="0" xfId="0" applyFont="1" applyFill="1" applyAlignment="1">
      <alignment horizontal="center" vertical="center" wrapText="1"/>
    </xf>
    <xf numFmtId="0" fontId="14" fillId="9" borderId="128" xfId="0" applyFont="1" applyFill="1" applyBorder="1" applyAlignment="1">
      <alignment horizontal="center" vertical="center" wrapText="1"/>
    </xf>
    <xf numFmtId="0" fontId="14" fillId="9" borderId="196" xfId="0" applyFont="1" applyFill="1" applyBorder="1" applyAlignment="1">
      <alignment horizontal="center" vertical="center" wrapText="1"/>
    </xf>
    <xf numFmtId="0" fontId="14" fillId="9" borderId="123" xfId="0" applyFont="1" applyFill="1" applyBorder="1" applyAlignment="1">
      <alignment horizontal="center" vertical="center" wrapText="1"/>
    </xf>
    <xf numFmtId="0" fontId="39" fillId="0" borderId="0" xfId="0" applyFont="1" applyAlignment="1">
      <alignment horizontal="left" vertical="top" wrapText="1"/>
    </xf>
    <xf numFmtId="0" fontId="14" fillId="9" borderId="36" xfId="0" applyFont="1" applyFill="1" applyBorder="1" applyAlignment="1">
      <alignment horizontal="left" vertical="center"/>
    </xf>
    <xf numFmtId="0" fontId="8" fillId="9" borderId="0" xfId="0" applyFont="1" applyFill="1" applyAlignment="1">
      <alignment horizontal="right" vertical="center"/>
    </xf>
    <xf numFmtId="0" fontId="14" fillId="0" borderId="63" xfId="0" applyFont="1" applyBorder="1" applyAlignment="1">
      <alignment horizontal="left" vertical="center"/>
    </xf>
    <xf numFmtId="0" fontId="0" fillId="2" borderId="196" xfId="0" applyFill="1" applyBorder="1">
      <alignment vertical="center"/>
    </xf>
    <xf numFmtId="0" fontId="14" fillId="2" borderId="207" xfId="0" applyFont="1" applyFill="1" applyBorder="1">
      <alignment vertical="center"/>
    </xf>
    <xf numFmtId="0" fontId="14" fillId="2" borderId="197" xfId="0" applyFont="1" applyFill="1" applyBorder="1">
      <alignment vertical="center"/>
    </xf>
    <xf numFmtId="0" fontId="0" fillId="2" borderId="128" xfId="0" applyFill="1" applyBorder="1">
      <alignment vertical="center"/>
    </xf>
    <xf numFmtId="0" fontId="14" fillId="2" borderId="0" xfId="0" applyFont="1" applyFill="1">
      <alignment vertical="center"/>
    </xf>
    <xf numFmtId="0" fontId="14" fillId="2" borderId="21" xfId="0" applyFont="1" applyFill="1" applyBorder="1">
      <alignment vertical="center"/>
    </xf>
    <xf numFmtId="0" fontId="0" fillId="9" borderId="0" xfId="0" applyFill="1" applyAlignment="1">
      <alignment horizontal="left" vertical="center"/>
    </xf>
    <xf numFmtId="0" fontId="14" fillId="9" borderId="0" xfId="0" applyFont="1" applyFill="1" applyAlignment="1">
      <alignment horizontal="center" vertical="center"/>
    </xf>
    <xf numFmtId="0" fontId="14" fillId="0" borderId="0" xfId="0" applyFont="1" applyAlignment="1">
      <alignment horizontal="left" vertical="center"/>
    </xf>
    <xf numFmtId="0" fontId="8" fillId="2" borderId="123" xfId="0" applyFont="1" applyFill="1" applyBorder="1" applyAlignment="1">
      <alignment horizontal="center" vertical="center"/>
    </xf>
    <xf numFmtId="0" fontId="22" fillId="2" borderId="124" xfId="0" applyFont="1" applyFill="1" applyBorder="1">
      <alignment vertical="center"/>
    </xf>
    <xf numFmtId="0" fontId="8" fillId="2" borderId="125" xfId="0" applyFont="1" applyFill="1" applyBorder="1">
      <alignment vertical="center"/>
    </xf>
    <xf numFmtId="0" fontId="8" fillId="2" borderId="207" xfId="0" applyFont="1" applyFill="1" applyBorder="1">
      <alignment vertical="center"/>
    </xf>
    <xf numFmtId="0" fontId="15" fillId="2" borderId="51" xfId="0" applyFont="1" applyFill="1" applyBorder="1" applyAlignment="1">
      <alignment horizontal="center" vertical="center" shrinkToFit="1"/>
    </xf>
    <xf numFmtId="0" fontId="15" fillId="2" borderId="27" xfId="0" applyFont="1" applyFill="1" applyBorder="1" applyAlignment="1">
      <alignment horizontal="center" vertical="center" wrapText="1"/>
    </xf>
    <xf numFmtId="0" fontId="0" fillId="2" borderId="124" xfId="0" applyFill="1" applyBorder="1">
      <alignment vertical="center"/>
    </xf>
    <xf numFmtId="0" fontId="22" fillId="2" borderId="125" xfId="0" applyFont="1" applyFill="1" applyBorder="1">
      <alignment vertical="center"/>
    </xf>
    <xf numFmtId="0" fontId="22" fillId="2" borderId="133" xfId="0" applyFont="1" applyFill="1" applyBorder="1">
      <alignment vertical="center"/>
    </xf>
    <xf numFmtId="0" fontId="0" fillId="2" borderId="6" xfId="0" applyFill="1" applyBorder="1">
      <alignment vertical="center"/>
    </xf>
    <xf numFmtId="0" fontId="8" fillId="2" borderId="4" xfId="0" applyFont="1" applyFill="1" applyBorder="1">
      <alignment vertical="center"/>
    </xf>
    <xf numFmtId="0" fontId="8" fillId="2" borderId="0" xfId="0" applyFont="1" applyFill="1">
      <alignment vertical="center"/>
    </xf>
    <xf numFmtId="0" fontId="0" fillId="18" borderId="196" xfId="0" applyFill="1" applyBorder="1" applyAlignment="1">
      <alignment vertical="center" wrapText="1"/>
    </xf>
    <xf numFmtId="0" fontId="0" fillId="18" borderId="207" xfId="0" applyFill="1" applyBorder="1" applyAlignment="1">
      <alignment vertical="center" wrapText="1"/>
    </xf>
    <xf numFmtId="0" fontId="0" fillId="18" borderId="197" xfId="0" applyFill="1" applyBorder="1" applyAlignment="1">
      <alignment vertical="center" wrapText="1"/>
    </xf>
    <xf numFmtId="0" fontId="0" fillId="18" borderId="124" xfId="0" applyFill="1" applyBorder="1">
      <alignment vertical="center"/>
    </xf>
    <xf numFmtId="0" fontId="0" fillId="18" borderId="125" xfId="0" applyFill="1" applyBorder="1">
      <alignment vertical="center"/>
    </xf>
    <xf numFmtId="0" fontId="0" fillId="18" borderId="129" xfId="0" applyFill="1" applyBorder="1">
      <alignment vertical="center"/>
    </xf>
    <xf numFmtId="0" fontId="0" fillId="18" borderId="128"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7" xfId="0" applyFill="1" applyBorder="1">
      <alignment vertical="center"/>
    </xf>
    <xf numFmtId="0" fontId="0" fillId="18" borderId="0" xfId="0" applyFill="1">
      <alignment vertical="center"/>
    </xf>
    <xf numFmtId="0" fontId="0" fillId="18" borderId="61" xfId="0" applyFill="1" applyBorder="1">
      <alignment vertical="center"/>
    </xf>
    <xf numFmtId="0" fontId="14" fillId="0" borderId="54" xfId="0" applyFont="1" applyBorder="1">
      <alignment vertical="center"/>
    </xf>
    <xf numFmtId="178" fontId="14" fillId="0" borderId="0" xfId="0" applyNumberFormat="1" applyFont="1">
      <alignment vertical="center"/>
    </xf>
    <xf numFmtId="0" fontId="14" fillId="43"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8" xfId="0" applyFill="1" applyBorder="1">
      <alignment vertical="center"/>
    </xf>
    <xf numFmtId="0" fontId="0" fillId="18" borderId="120"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4" fillId="47" borderId="0" xfId="0" applyFont="1" applyFill="1">
      <alignment vertical="center"/>
    </xf>
    <xf numFmtId="0" fontId="0" fillId="18" borderId="89" xfId="0" applyFill="1" applyBorder="1">
      <alignment vertical="center"/>
    </xf>
    <xf numFmtId="0" fontId="0" fillId="18" borderId="133" xfId="0" applyFill="1" applyBorder="1" applyAlignment="1">
      <alignment vertical="center" wrapText="1"/>
    </xf>
    <xf numFmtId="0" fontId="0" fillId="18" borderId="134" xfId="0" applyFill="1" applyBorder="1" applyAlignment="1">
      <alignment vertical="center" wrapText="1"/>
    </xf>
    <xf numFmtId="0" fontId="0" fillId="18" borderId="33" xfId="0" applyFill="1" applyBorder="1">
      <alignment vertical="center"/>
    </xf>
    <xf numFmtId="0" fontId="0" fillId="18" borderId="117" xfId="0" applyFill="1" applyBorder="1">
      <alignment vertical="center"/>
    </xf>
    <xf numFmtId="0" fontId="14" fillId="0" borderId="73" xfId="0" applyFont="1" applyBorder="1">
      <alignment vertical="center"/>
    </xf>
    <xf numFmtId="0" fontId="7" fillId="0" borderId="0" xfId="0" applyFont="1">
      <alignment vertical="center"/>
    </xf>
    <xf numFmtId="0" fontId="7" fillId="9" borderId="0" xfId="0" applyFont="1" applyFill="1">
      <alignment vertical="center"/>
    </xf>
    <xf numFmtId="0" fontId="14" fillId="0" borderId="34" xfId="0" applyFont="1" applyBorder="1" applyAlignment="1">
      <alignment horizontal="left" vertical="center"/>
    </xf>
    <xf numFmtId="0" fontId="14" fillId="2" borderId="123" xfId="0" applyFont="1" applyFill="1" applyBorder="1" applyAlignment="1">
      <alignment horizontal="center" vertical="center"/>
    </xf>
    <xf numFmtId="0" fontId="0" fillId="9" borderId="207" xfId="0" applyFill="1" applyBorder="1">
      <alignment vertical="center"/>
    </xf>
    <xf numFmtId="0" fontId="0" fillId="9" borderId="197" xfId="0" applyFill="1" applyBorder="1">
      <alignment vertical="center"/>
    </xf>
    <xf numFmtId="0" fontId="0" fillId="9" borderId="21" xfId="0" applyFill="1" applyBorder="1">
      <alignment vertical="center"/>
    </xf>
    <xf numFmtId="0" fontId="14" fillId="9" borderId="118" xfId="0" applyFont="1" applyFill="1" applyBorder="1">
      <alignment vertical="center"/>
    </xf>
    <xf numFmtId="179" fontId="0" fillId="0" borderId="0" xfId="0" applyNumberFormat="1" applyAlignment="1">
      <alignment vertical="center" wrapText="1"/>
    </xf>
    <xf numFmtId="0" fontId="14" fillId="43" borderId="77" xfId="0" applyFont="1" applyFill="1" applyBorder="1">
      <alignment vertical="center"/>
    </xf>
    <xf numFmtId="0" fontId="14" fillId="0" borderId="216" xfId="0" applyFont="1" applyBorder="1">
      <alignment vertical="center"/>
    </xf>
    <xf numFmtId="0" fontId="14" fillId="2" borderId="53" xfId="0" applyFont="1" applyFill="1" applyBorder="1" applyAlignment="1">
      <alignment horizontal="center" vertical="center" wrapText="1"/>
    </xf>
    <xf numFmtId="0" fontId="14" fillId="2" borderId="27" xfId="0" applyFont="1" applyFill="1" applyBorder="1" applyAlignment="1">
      <alignment horizontal="center" vertical="center" wrapText="1"/>
    </xf>
    <xf numFmtId="0" fontId="14" fillId="9" borderId="50" xfId="0" applyFont="1" applyFill="1" applyBorder="1" applyAlignment="1">
      <alignment horizontal="center" vertical="center" wrapText="1"/>
    </xf>
    <xf numFmtId="0" fontId="14" fillId="9" borderId="21" xfId="0" applyFont="1" applyFill="1" applyBorder="1">
      <alignment vertical="center"/>
    </xf>
    <xf numFmtId="0" fontId="0" fillId="9" borderId="56" xfId="0" applyFill="1" applyBorder="1">
      <alignment vertical="center"/>
    </xf>
    <xf numFmtId="0" fontId="14" fillId="2" borderId="6" xfId="0" applyFont="1" applyFill="1" applyBorder="1" applyAlignment="1">
      <alignment horizontal="left" vertical="center"/>
    </xf>
    <xf numFmtId="0" fontId="25" fillId="2" borderId="4" xfId="0" applyFont="1" applyFill="1" applyBorder="1">
      <alignment vertical="center"/>
    </xf>
    <xf numFmtId="0" fontId="25" fillId="2" borderId="64" xfId="0" applyFont="1" applyFill="1" applyBorder="1">
      <alignment vertical="center"/>
    </xf>
    <xf numFmtId="0" fontId="25" fillId="2" borderId="211" xfId="0" applyFont="1" applyFill="1" applyBorder="1">
      <alignment vertical="center"/>
    </xf>
    <xf numFmtId="0" fontId="14" fillId="0" borderId="88" xfId="0" applyFont="1" applyBorder="1" applyAlignment="1">
      <alignment horizontal="left" vertical="center"/>
    </xf>
    <xf numFmtId="0" fontId="0" fillId="0" borderId="0" xfId="0" applyAlignment="1">
      <alignment horizontal="right" vertical="center"/>
    </xf>
    <xf numFmtId="0" fontId="28" fillId="0" borderId="0" xfId="0" applyFont="1">
      <alignment vertical="center"/>
    </xf>
    <xf numFmtId="0" fontId="14" fillId="20" borderId="63" xfId="0" applyFont="1" applyFill="1" applyBorder="1" applyAlignment="1">
      <alignment horizontal="left" vertical="top"/>
    </xf>
    <xf numFmtId="0" fontId="62" fillId="0" borderId="52" xfId="0" applyFont="1" applyBorder="1">
      <alignment vertical="center"/>
    </xf>
    <xf numFmtId="0" fontId="0" fillId="0" borderId="21" xfId="0" applyBorder="1">
      <alignment vertical="center"/>
    </xf>
    <xf numFmtId="0" fontId="58" fillId="0" borderId="0" xfId="0" applyFont="1">
      <alignment vertical="center"/>
    </xf>
    <xf numFmtId="0" fontId="37" fillId="0" borderId="128" xfId="0" applyFont="1" applyBorder="1">
      <alignment vertical="center"/>
    </xf>
    <xf numFmtId="0" fontId="14" fillId="0" borderId="128" xfId="0" applyFont="1" applyBorder="1" applyAlignment="1">
      <alignment horizontal="right" vertical="top"/>
    </xf>
    <xf numFmtId="0" fontId="62" fillId="0" borderId="0" xfId="0" applyFont="1" applyAlignment="1">
      <alignment horizontal="left" vertical="top" wrapText="1"/>
    </xf>
    <xf numFmtId="0" fontId="14" fillId="0" borderId="89" xfId="0" applyFont="1" applyBorder="1" applyAlignment="1">
      <alignment horizontal="right" vertical="top"/>
    </xf>
    <xf numFmtId="0" fontId="25" fillId="0" borderId="196" xfId="0" applyFont="1" applyBorder="1">
      <alignment vertical="center"/>
    </xf>
    <xf numFmtId="0" fontId="0" fillId="0" borderId="207" xfId="0" applyBorder="1" applyAlignment="1">
      <alignment horizontal="left" vertical="top" wrapText="1"/>
    </xf>
    <xf numFmtId="0" fontId="0" fillId="0" borderId="197" xfId="0" applyBorder="1">
      <alignment vertical="center"/>
    </xf>
    <xf numFmtId="0" fontId="0" fillId="0" borderId="148" xfId="0" applyBorder="1">
      <alignment vertical="center"/>
    </xf>
    <xf numFmtId="0" fontId="14" fillId="0" borderId="52" xfId="0" applyFont="1" applyBorder="1">
      <alignment vertical="center"/>
    </xf>
    <xf numFmtId="0" fontId="0" fillId="0" borderId="102" xfId="0" applyBorder="1">
      <alignment vertical="center"/>
    </xf>
    <xf numFmtId="0" fontId="14" fillId="0" borderId="74" xfId="0" applyFont="1" applyBorder="1">
      <alignment vertical="center"/>
    </xf>
    <xf numFmtId="0" fontId="28" fillId="0" borderId="134" xfId="0" applyFont="1" applyBorder="1">
      <alignment vertical="center"/>
    </xf>
    <xf numFmtId="0" fontId="0" fillId="0" borderId="61" xfId="0" applyBorder="1">
      <alignment vertical="center"/>
    </xf>
    <xf numFmtId="0" fontId="0" fillId="0" borderId="0" xfId="0" applyAlignment="1">
      <alignment vertical="top" wrapText="1"/>
    </xf>
    <xf numFmtId="0" fontId="14" fillId="0" borderId="71" xfId="0" applyFont="1" applyBorder="1">
      <alignment vertical="center"/>
    </xf>
    <xf numFmtId="0" fontId="51" fillId="25" borderId="0" xfId="0" applyFont="1" applyFill="1">
      <alignment vertical="center"/>
    </xf>
    <xf numFmtId="0" fontId="51" fillId="31" borderId="0" xfId="0" applyFont="1" applyFill="1" applyAlignment="1">
      <alignment horizontal="left" vertical="center"/>
    </xf>
    <xf numFmtId="0" fontId="51" fillId="0" borderId="0" xfId="0" applyFont="1">
      <alignment vertical="center"/>
    </xf>
    <xf numFmtId="0" fontId="16" fillId="25" borderId="0" xfId="0" applyFont="1" applyFill="1" applyAlignment="1">
      <alignment horizontal="center" vertical="center" wrapText="1"/>
    </xf>
    <xf numFmtId="0" fontId="39" fillId="25" borderId="0" xfId="0" applyFont="1" applyFill="1" applyAlignment="1">
      <alignment horizontal="left" vertical="top" wrapText="1"/>
    </xf>
    <xf numFmtId="0" fontId="51" fillId="20" borderId="0" xfId="0" applyFont="1" applyFill="1" applyAlignment="1">
      <alignment horizontal="left" vertical="center"/>
    </xf>
    <xf numFmtId="0" fontId="51" fillId="25" borderId="0" xfId="0" applyFont="1" applyFill="1" applyAlignment="1">
      <alignment horizontal="center" vertical="center"/>
    </xf>
    <xf numFmtId="0" fontId="51" fillId="25" borderId="0" xfId="0" applyFont="1" applyFill="1" applyAlignment="1">
      <alignment horizontal="right" vertical="center"/>
    </xf>
    <xf numFmtId="179" fontId="51" fillId="25" borderId="123" xfId="0" applyNumberFormat="1" applyFont="1" applyFill="1" applyBorder="1" applyAlignment="1">
      <alignment horizontal="left" vertical="center" shrinkToFit="1"/>
    </xf>
    <xf numFmtId="0" fontId="51" fillId="31" borderId="96" xfId="0" applyFont="1" applyFill="1" applyBorder="1">
      <alignment vertical="center"/>
    </xf>
    <xf numFmtId="0" fontId="0" fillId="20" borderId="207" xfId="0" applyFill="1" applyBorder="1">
      <alignment vertical="center"/>
    </xf>
    <xf numFmtId="0" fontId="51" fillId="31" borderId="0" xfId="0" applyFont="1" applyFill="1">
      <alignment vertical="center"/>
    </xf>
    <xf numFmtId="0" fontId="52" fillId="25" borderId="0" xfId="0" applyFont="1" applyFill="1">
      <alignment vertical="center"/>
    </xf>
    <xf numFmtId="0" fontId="51" fillId="20" borderId="0" xfId="0" applyFont="1" applyFill="1">
      <alignment vertical="center"/>
    </xf>
    <xf numFmtId="0" fontId="14" fillId="25" borderId="0" xfId="0" applyFont="1" applyFill="1">
      <alignment vertical="center"/>
    </xf>
    <xf numFmtId="0" fontId="14" fillId="25" borderId="0" xfId="0" applyFont="1" applyFill="1" applyAlignment="1">
      <alignment vertical="center" wrapText="1"/>
    </xf>
    <xf numFmtId="0" fontId="22" fillId="26" borderId="1" xfId="0" applyFont="1" applyFill="1" applyBorder="1">
      <alignment vertical="center"/>
    </xf>
    <xf numFmtId="0" fontId="14" fillId="26" borderId="1" xfId="0" applyFont="1" applyFill="1" applyBorder="1" applyAlignment="1">
      <alignment horizontal="center" vertical="center" wrapText="1"/>
    </xf>
    <xf numFmtId="0" fontId="14" fillId="25" borderId="1" xfId="0" applyFont="1" applyFill="1" applyBorder="1" applyAlignment="1">
      <alignment horizontal="center" vertical="center"/>
    </xf>
    <xf numFmtId="0" fontId="14" fillId="25" borderId="1" xfId="0" applyFont="1" applyFill="1" applyBorder="1" applyAlignment="1">
      <alignment horizontal="center" vertical="center" wrapText="1"/>
    </xf>
    <xf numFmtId="0" fontId="51" fillId="26" borderId="1" xfId="0" applyFont="1" applyFill="1" applyBorder="1" applyAlignment="1">
      <alignment horizontal="center" vertical="center"/>
    </xf>
    <xf numFmtId="178" fontId="51" fillId="25" borderId="0" xfId="0" applyNumberFormat="1" applyFont="1" applyFill="1">
      <alignment vertical="center"/>
    </xf>
    <xf numFmtId="178" fontId="51" fillId="31" borderId="0" xfId="0" applyNumberFormat="1" applyFont="1" applyFill="1">
      <alignment vertical="center"/>
    </xf>
    <xf numFmtId="0" fontId="51" fillId="0" borderId="0" xfId="0" applyFont="1" applyAlignment="1">
      <alignment horizontal="center" vertical="center"/>
    </xf>
    <xf numFmtId="0" fontId="16" fillId="0" borderId="0" xfId="0" applyFont="1">
      <alignment vertical="center"/>
    </xf>
    <xf numFmtId="0" fontId="19" fillId="20" borderId="0" xfId="0" applyFont="1" applyFill="1" applyAlignment="1">
      <alignment horizontal="left" vertical="center"/>
    </xf>
    <xf numFmtId="0" fontId="7" fillId="20" borderId="0" xfId="0" applyFont="1" applyFill="1">
      <alignment vertical="center"/>
    </xf>
    <xf numFmtId="0" fontId="14" fillId="18" borderId="196" xfId="0" applyFont="1" applyFill="1" applyBorder="1">
      <alignment vertical="center"/>
    </xf>
    <xf numFmtId="0" fontId="14" fillId="18" borderId="207" xfId="0" applyFont="1" applyFill="1" applyBorder="1">
      <alignment vertical="center"/>
    </xf>
    <xf numFmtId="0" fontId="0" fillId="18" borderId="207" xfId="0" applyFill="1" applyBorder="1">
      <alignment vertical="center"/>
    </xf>
    <xf numFmtId="0" fontId="0" fillId="18" borderId="200" xfId="0" applyFill="1" applyBorder="1">
      <alignment vertical="center"/>
    </xf>
    <xf numFmtId="0" fontId="14" fillId="20" borderId="207" xfId="0" applyFont="1" applyFill="1" applyBorder="1">
      <alignment vertical="center"/>
    </xf>
    <xf numFmtId="0" fontId="0" fillId="20" borderId="197" xfId="0" applyFill="1" applyBorder="1">
      <alignment vertical="center"/>
    </xf>
    <xf numFmtId="0" fontId="39" fillId="20" borderId="128" xfId="0" applyFont="1" applyFill="1" applyBorder="1" applyAlignment="1">
      <alignment vertical="top" wrapText="1"/>
    </xf>
    <xf numFmtId="0" fontId="62" fillId="20" borderId="0" xfId="0" applyFont="1" applyFill="1" applyAlignment="1">
      <alignment vertical="top" wrapText="1"/>
    </xf>
    <xf numFmtId="0" fontId="14" fillId="18" borderId="32" xfId="0" applyFont="1" applyFill="1" applyBorder="1">
      <alignment vertical="center"/>
    </xf>
    <xf numFmtId="0" fontId="14" fillId="18" borderId="33" xfId="0" applyFont="1" applyFill="1" applyBorder="1">
      <alignment vertical="center"/>
    </xf>
    <xf numFmtId="0" fontId="0" fillId="20" borderId="21" xfId="0" applyFill="1" applyBorder="1">
      <alignment vertical="center"/>
    </xf>
    <xf numFmtId="0" fontId="0" fillId="18" borderId="133" xfId="0" applyFill="1" applyBorder="1">
      <alignment vertical="center"/>
    </xf>
    <xf numFmtId="0" fontId="58" fillId="20" borderId="0" xfId="0" applyFont="1" applyFill="1">
      <alignment vertical="center"/>
    </xf>
    <xf numFmtId="0" fontId="14" fillId="20" borderId="212" xfId="0" applyFont="1" applyFill="1" applyBorder="1">
      <alignment vertical="center"/>
    </xf>
    <xf numFmtId="0" fontId="14" fillId="20" borderId="43" xfId="0" applyFont="1" applyFill="1" applyBorder="1">
      <alignment vertical="center"/>
    </xf>
    <xf numFmtId="0" fontId="14" fillId="9" borderId="133" xfId="0" applyFont="1" applyFill="1" applyBorder="1">
      <alignment vertical="center"/>
    </xf>
    <xf numFmtId="0" fontId="14" fillId="18" borderId="122" xfId="0" applyFont="1" applyFill="1" applyBorder="1">
      <alignment vertical="center"/>
    </xf>
    <xf numFmtId="0" fontId="39" fillId="0" borderId="128" xfId="0" applyFont="1" applyBorder="1" applyAlignment="1">
      <alignment vertical="top" wrapText="1"/>
    </xf>
    <xf numFmtId="0" fontId="0" fillId="18" borderId="197" xfId="0" applyFill="1" applyBorder="1">
      <alignment vertical="center"/>
    </xf>
    <xf numFmtId="0" fontId="14" fillId="18" borderId="179" xfId="0" applyFont="1" applyFill="1" applyBorder="1" applyAlignment="1">
      <alignment horizontal="center" vertical="center"/>
    </xf>
    <xf numFmtId="0" fontId="14" fillId="18" borderId="180" xfId="0" applyFont="1" applyFill="1" applyBorder="1">
      <alignment vertical="center"/>
    </xf>
    <xf numFmtId="0" fontId="0" fillId="18" borderId="180" xfId="0" applyFill="1" applyBorder="1">
      <alignment vertical="center"/>
    </xf>
    <xf numFmtId="0" fontId="0" fillId="18" borderId="181" xfId="0" applyFill="1" applyBorder="1">
      <alignment vertical="center"/>
    </xf>
    <xf numFmtId="0" fontId="14" fillId="18" borderId="128" xfId="0" applyFont="1" applyFill="1" applyBorder="1">
      <alignment vertical="center"/>
    </xf>
    <xf numFmtId="0" fontId="14" fillId="18" borderId="0" xfId="0" applyFont="1" applyFill="1">
      <alignment vertical="center"/>
    </xf>
    <xf numFmtId="0" fontId="14" fillId="18" borderId="0" xfId="0" applyFont="1" applyFill="1" applyAlignment="1">
      <alignment horizontal="center" vertical="center" shrinkToFit="1"/>
    </xf>
    <xf numFmtId="0" fontId="0" fillId="18" borderId="21" xfId="0" applyFill="1" applyBorder="1">
      <alignment vertical="center"/>
    </xf>
    <xf numFmtId="0" fontId="8" fillId="18" borderId="207" xfId="0" applyFont="1" applyFill="1" applyBorder="1">
      <alignment vertical="center"/>
    </xf>
    <xf numFmtId="0" fontId="8" fillId="18" borderId="0" xfId="0" applyFont="1" applyFill="1">
      <alignment vertical="center"/>
    </xf>
    <xf numFmtId="0" fontId="8" fillId="18" borderId="197" xfId="0" applyFont="1" applyFill="1" applyBorder="1">
      <alignment vertical="center"/>
    </xf>
    <xf numFmtId="0" fontId="14" fillId="18" borderId="184" xfId="0" applyFont="1" applyFill="1" applyBorder="1">
      <alignment vertical="center"/>
    </xf>
    <xf numFmtId="0" fontId="14" fillId="18" borderId="13" xfId="0" applyFont="1" applyFill="1" applyBorder="1">
      <alignment vertical="center"/>
    </xf>
    <xf numFmtId="0" fontId="0" fillId="18" borderId="13" xfId="0" applyFill="1" applyBorder="1">
      <alignment vertical="center"/>
    </xf>
    <xf numFmtId="0" fontId="14" fillId="18" borderId="13" xfId="0" applyFont="1" applyFill="1" applyBorder="1" applyAlignment="1">
      <alignment horizontal="center" vertical="center" shrinkToFit="1"/>
    </xf>
    <xf numFmtId="0" fontId="56" fillId="10" borderId="0" xfId="0" applyFont="1" applyFill="1" applyAlignment="1">
      <alignment horizontal="center" vertical="center"/>
    </xf>
    <xf numFmtId="0" fontId="20" fillId="9" borderId="0" xfId="0" applyFont="1" applyFill="1">
      <alignment vertical="center"/>
    </xf>
    <xf numFmtId="0" fontId="20" fillId="20" borderId="0" xfId="0" applyFont="1" applyFill="1" applyAlignment="1">
      <alignment horizontal="left" vertical="center"/>
    </xf>
    <xf numFmtId="0" fontId="7" fillId="20" borderId="0" xfId="0" applyFont="1" applyFill="1" applyAlignment="1">
      <alignment horizontal="center" vertical="center"/>
    </xf>
    <xf numFmtId="0" fontId="7" fillId="4" borderId="0" xfId="0" applyFont="1" applyFill="1" applyAlignment="1">
      <alignment horizontal="center" vertical="center"/>
    </xf>
    <xf numFmtId="0" fontId="20" fillId="10" borderId="0" xfId="0" applyFont="1" applyFill="1">
      <alignment vertical="center"/>
    </xf>
    <xf numFmtId="0" fontId="20" fillId="10" borderId="0" xfId="0" applyFont="1" applyFill="1" applyAlignment="1">
      <alignment horizontal="center" vertical="center"/>
    </xf>
    <xf numFmtId="0" fontId="7" fillId="10" borderId="21" xfId="0" applyFont="1" applyFill="1" applyBorder="1" applyAlignment="1">
      <alignment horizontal="right" vertical="center"/>
    </xf>
    <xf numFmtId="179" fontId="7" fillId="10" borderId="0" xfId="0" applyNumberFormat="1" applyFont="1" applyFill="1" applyAlignment="1">
      <alignment horizontal="center" vertical="center" shrinkToFit="1"/>
    </xf>
    <xf numFmtId="0" fontId="37" fillId="9" borderId="0" xfId="0" applyFont="1" applyFill="1" applyAlignment="1">
      <alignment horizontal="left" vertical="top" wrapText="1"/>
    </xf>
    <xf numFmtId="0" fontId="7" fillId="10" borderId="0" xfId="0" applyFont="1" applyFill="1" applyAlignment="1">
      <alignment horizontal="left" vertical="center" wrapText="1"/>
    </xf>
    <xf numFmtId="0" fontId="7" fillId="9" borderId="0" xfId="0" applyFont="1" applyFill="1" applyAlignment="1">
      <alignment vertical="center" wrapText="1"/>
    </xf>
    <xf numFmtId="0" fontId="7" fillId="20" borderId="0" xfId="0" applyFont="1" applyFill="1" applyAlignment="1">
      <alignment vertical="center" wrapText="1"/>
    </xf>
    <xf numFmtId="0" fontId="14" fillId="20" borderId="63" xfId="0" applyFont="1" applyFill="1" applyBorder="1" applyAlignment="1">
      <alignment horizontal="left" vertical="top" wrapText="1"/>
    </xf>
    <xf numFmtId="0" fontId="14" fillId="10" borderId="0" xfId="0" applyFont="1" applyFill="1" applyAlignment="1">
      <alignment horizontal="left" vertical="center" wrapText="1"/>
    </xf>
    <xf numFmtId="0" fontId="20" fillId="43" borderId="0" xfId="0" applyFont="1" applyFill="1">
      <alignment vertical="center"/>
    </xf>
    <xf numFmtId="0" fontId="11" fillId="20" borderId="0" xfId="0" applyFont="1" applyFill="1" applyAlignment="1"/>
    <xf numFmtId="0" fontId="23" fillId="9" borderId="0" xfId="0" applyFont="1" applyFill="1">
      <alignment vertical="center"/>
    </xf>
    <xf numFmtId="0" fontId="7" fillId="2" borderId="124" xfId="0" applyFont="1" applyFill="1" applyBorder="1" applyAlignment="1">
      <alignment horizontal="center" vertical="center"/>
    </xf>
    <xf numFmtId="0" fontId="20" fillId="2" borderId="124" xfId="0" applyFont="1" applyFill="1" applyBorder="1" applyAlignment="1">
      <alignment horizontal="center" vertical="center" wrapText="1"/>
    </xf>
    <xf numFmtId="0" fontId="20" fillId="2" borderId="123" xfId="0" applyFont="1" applyFill="1" applyBorder="1" applyAlignment="1">
      <alignment horizontal="center" vertical="center" shrinkToFit="1"/>
    </xf>
    <xf numFmtId="0" fontId="7" fillId="43" borderId="0" xfId="0" applyFont="1" applyFill="1">
      <alignment vertical="center"/>
    </xf>
    <xf numFmtId="0" fontId="7" fillId="47" borderId="0" xfId="0" applyFont="1" applyFill="1">
      <alignment vertical="center"/>
    </xf>
    <xf numFmtId="0" fontId="20" fillId="20" borderId="0" xfId="0" applyFont="1" applyFill="1">
      <alignment vertical="center"/>
    </xf>
    <xf numFmtId="0" fontId="20" fillId="47" borderId="0" xfId="0" applyFont="1" applyFill="1">
      <alignment vertical="center"/>
    </xf>
    <xf numFmtId="178" fontId="20" fillId="9" borderId="0" xfId="0" applyNumberFormat="1" applyFont="1" applyFill="1">
      <alignment vertical="center"/>
    </xf>
    <xf numFmtId="178" fontId="20" fillId="20" borderId="0" xfId="0" applyNumberFormat="1" applyFont="1" applyFill="1">
      <alignment vertical="center"/>
    </xf>
    <xf numFmtId="0" fontId="20" fillId="2" borderId="124" xfId="0" applyFont="1" applyFill="1" applyBorder="1" applyAlignment="1">
      <alignment horizontal="center" vertical="center"/>
    </xf>
    <xf numFmtId="0" fontId="20" fillId="2" borderId="124" xfId="0" applyFont="1" applyFill="1" applyBorder="1" applyAlignment="1">
      <alignment horizontal="right" vertical="center"/>
    </xf>
    <xf numFmtId="176" fontId="20" fillId="9" borderId="123" xfId="0" applyNumberFormat="1" applyFont="1" applyFill="1" applyBorder="1" applyAlignment="1">
      <alignment horizontal="center" vertical="center" shrinkToFit="1"/>
    </xf>
    <xf numFmtId="0" fontId="20" fillId="0" borderId="0" xfId="0" applyFont="1" applyAlignment="1">
      <alignment horizontal="left" vertical="center" wrapText="1"/>
    </xf>
    <xf numFmtId="0" fontId="20" fillId="0" borderId="61" xfId="0" applyFont="1" applyBorder="1">
      <alignment vertical="center"/>
    </xf>
    <xf numFmtId="0" fontId="20" fillId="18" borderId="64" xfId="0" applyFont="1" applyFill="1" applyBorder="1" applyAlignment="1">
      <alignment horizontal="center" vertical="center"/>
    </xf>
    <xf numFmtId="0" fontId="20" fillId="18" borderId="90" xfId="0" applyFont="1" applyFill="1" applyBorder="1" applyAlignment="1">
      <alignment horizontal="center" vertical="center"/>
    </xf>
    <xf numFmtId="0" fontId="14" fillId="0" borderId="61" xfId="0" applyFont="1" applyBorder="1" applyAlignment="1">
      <alignment horizontal="center" vertical="center"/>
    </xf>
    <xf numFmtId="0" fontId="20" fillId="18" borderId="13" xfId="0" applyFont="1" applyFill="1" applyBorder="1" applyAlignment="1">
      <alignment horizontal="left" vertical="center"/>
    </xf>
    <xf numFmtId="0" fontId="14" fillId="45" borderId="13" xfId="0" applyFont="1" applyFill="1" applyBorder="1" applyAlignment="1">
      <alignment horizontal="left" vertical="center"/>
    </xf>
    <xf numFmtId="0" fontId="20" fillId="18" borderId="28" xfId="0" applyFont="1" applyFill="1" applyBorder="1" applyAlignment="1">
      <alignment horizontal="left" vertical="center"/>
    </xf>
    <xf numFmtId="0" fontId="20" fillId="18" borderId="58" xfId="0" applyFont="1" applyFill="1" applyBorder="1" applyAlignment="1">
      <alignment horizontal="left" vertical="center"/>
    </xf>
    <xf numFmtId="0" fontId="23" fillId="20" borderId="0" xfId="0" applyFont="1" applyFill="1">
      <alignment vertical="center"/>
    </xf>
    <xf numFmtId="0" fontId="20" fillId="0" borderId="0" xfId="0" applyFont="1" applyAlignment="1">
      <alignment horizontal="left" vertical="center"/>
    </xf>
    <xf numFmtId="0" fontId="20" fillId="0" borderId="0" xfId="0" applyFont="1">
      <alignment vertical="center"/>
    </xf>
    <xf numFmtId="0" fontId="7" fillId="20" borderId="0" xfId="0" applyFont="1" applyFill="1" applyAlignment="1">
      <alignment horizontal="left" vertical="center"/>
    </xf>
    <xf numFmtId="0" fontId="14" fillId="9" borderId="0" xfId="3" applyFill="1">
      <alignment vertical="center"/>
    </xf>
    <xf numFmtId="0" fontId="19" fillId="9" borderId="0" xfId="3" applyFont="1" applyFill="1" applyAlignment="1">
      <alignment horizontal="center" vertical="center" wrapText="1"/>
    </xf>
    <xf numFmtId="0" fontId="19" fillId="9" borderId="0" xfId="3" applyFont="1" applyFill="1" applyAlignment="1">
      <alignment vertical="center" wrapText="1"/>
    </xf>
    <xf numFmtId="0" fontId="16" fillId="9" borderId="0" xfId="3" applyFont="1" applyFill="1" applyAlignment="1">
      <alignment vertical="center" wrapText="1"/>
    </xf>
    <xf numFmtId="0" fontId="37" fillId="9" borderId="0" xfId="0" applyFont="1" applyFill="1" applyAlignment="1">
      <alignment vertical="center" wrapText="1"/>
    </xf>
    <xf numFmtId="0" fontId="14" fillId="20" borderId="0" xfId="3" applyFill="1" applyAlignment="1">
      <alignment horizontal="left" vertical="center"/>
    </xf>
    <xf numFmtId="0" fontId="14" fillId="9" borderId="0" xfId="3" applyFill="1" applyAlignment="1">
      <alignment horizontal="right" vertical="center"/>
    </xf>
    <xf numFmtId="0" fontId="0" fillId="20" borderId="0" xfId="0" applyFill="1" applyAlignment="1">
      <alignment horizontal="right" vertical="center"/>
    </xf>
    <xf numFmtId="0" fontId="11" fillId="9" borderId="0" xfId="0" applyFont="1" applyFill="1" applyAlignment="1">
      <alignment horizontal="left" vertical="center" wrapText="1"/>
    </xf>
    <xf numFmtId="0" fontId="22" fillId="2" borderId="124" xfId="0" applyFont="1" applyFill="1" applyBorder="1" applyAlignment="1">
      <alignment horizontal="left" vertical="center"/>
    </xf>
    <xf numFmtId="179" fontId="0" fillId="20" borderId="0" xfId="0" applyNumberFormat="1" applyFill="1" applyAlignment="1">
      <alignment horizontal="center" vertical="center"/>
    </xf>
    <xf numFmtId="0" fontId="14" fillId="9" borderId="0" xfId="0" applyFont="1" applyFill="1" applyAlignment="1">
      <alignment horizontal="left" vertical="center" wrapText="1"/>
    </xf>
    <xf numFmtId="0" fontId="22" fillId="2" borderId="196" xfId="0" applyFont="1" applyFill="1" applyBorder="1">
      <alignment vertical="center"/>
    </xf>
    <xf numFmtId="0" fontId="29" fillId="9" borderId="68" xfId="0" applyFont="1" applyFill="1" applyBorder="1">
      <alignment vertical="center"/>
    </xf>
    <xf numFmtId="0" fontId="29" fillId="9" borderId="71" xfId="0" applyFont="1" applyFill="1" applyBorder="1">
      <alignment vertical="center"/>
    </xf>
    <xf numFmtId="0" fontId="29" fillId="9" borderId="108" xfId="0" applyFont="1" applyFill="1" applyBorder="1">
      <alignment vertical="center"/>
    </xf>
    <xf numFmtId="0" fontId="0" fillId="2" borderId="8" xfId="0" applyFill="1" applyBorder="1" applyAlignment="1">
      <alignment horizontal="center" vertical="center"/>
    </xf>
    <xf numFmtId="0" fontId="14" fillId="9" borderId="52" xfId="0" applyFont="1" applyFill="1" applyBorder="1">
      <alignment vertical="center"/>
    </xf>
    <xf numFmtId="0" fontId="22" fillId="2" borderId="6" xfId="0" applyFont="1" applyFill="1" applyBorder="1">
      <alignment vertical="center"/>
    </xf>
    <xf numFmtId="0" fontId="29" fillId="9" borderId="55" xfId="0" applyFont="1" applyFill="1" applyBorder="1">
      <alignment vertical="center"/>
    </xf>
    <xf numFmtId="0" fontId="29" fillId="9" borderId="14" xfId="0" applyFont="1" applyFill="1" applyBorder="1">
      <alignment vertical="center"/>
    </xf>
    <xf numFmtId="0" fontId="29" fillId="9" borderId="79" xfId="0" applyFont="1" applyFill="1" applyBorder="1">
      <alignment vertical="center"/>
    </xf>
    <xf numFmtId="0" fontId="14" fillId="9" borderId="10" xfId="0" applyFont="1" applyFill="1" applyBorder="1">
      <alignment vertical="center"/>
    </xf>
    <xf numFmtId="0" fontId="14" fillId="9" borderId="23" xfId="0" applyFont="1" applyFill="1" applyBorder="1">
      <alignment vertical="center"/>
    </xf>
    <xf numFmtId="0" fontId="22" fillId="2" borderId="92" xfId="0" applyFont="1" applyFill="1" applyBorder="1">
      <alignment vertical="center"/>
    </xf>
    <xf numFmtId="0" fontId="29" fillId="9" borderId="91" xfId="0" applyFont="1" applyFill="1" applyBorder="1">
      <alignment vertical="center"/>
    </xf>
    <xf numFmtId="0" fontId="29" fillId="9" borderId="64" xfId="0" applyFont="1" applyFill="1" applyBorder="1">
      <alignment vertical="center"/>
    </xf>
    <xf numFmtId="0" fontId="29" fillId="9" borderId="67" xfId="0" applyFont="1" applyFill="1" applyBorder="1">
      <alignment vertical="center"/>
    </xf>
    <xf numFmtId="0" fontId="22" fillId="2" borderId="6" xfId="0" applyFont="1" applyFill="1" applyBorder="1" applyAlignment="1">
      <alignment vertical="center" wrapText="1"/>
    </xf>
    <xf numFmtId="0" fontId="29" fillId="9" borderId="0" xfId="0" applyFont="1" applyFill="1">
      <alignment vertical="center"/>
    </xf>
    <xf numFmtId="0" fontId="29" fillId="9" borderId="21" xfId="0" applyFont="1" applyFill="1" applyBorder="1">
      <alignment vertical="center"/>
    </xf>
    <xf numFmtId="0" fontId="22" fillId="2" borderId="124" xfId="0" applyFont="1" applyFill="1" applyBorder="1" applyAlignment="1">
      <alignment vertical="center" wrapText="1"/>
    </xf>
    <xf numFmtId="0" fontId="10" fillId="9" borderId="0" xfId="0" applyFont="1" applyFill="1">
      <alignment vertical="center"/>
    </xf>
    <xf numFmtId="0" fontId="10" fillId="9" borderId="0" xfId="0" applyFont="1" applyFill="1" applyAlignment="1">
      <alignment horizontal="center" vertical="center"/>
    </xf>
    <xf numFmtId="0" fontId="8" fillId="9" borderId="0" xfId="0" applyFont="1" applyFill="1">
      <alignment vertical="center"/>
    </xf>
    <xf numFmtId="0" fontId="15" fillId="0" borderId="0" xfId="0" applyFont="1" applyAlignment="1">
      <alignment horizontal="left" vertical="center" wrapText="1"/>
    </xf>
    <xf numFmtId="0" fontId="20" fillId="2" borderId="123" xfId="0" applyFont="1" applyFill="1" applyBorder="1" applyAlignment="1">
      <alignment horizontal="center" vertical="center"/>
    </xf>
    <xf numFmtId="0" fontId="7" fillId="2" borderId="123" xfId="0" applyFont="1" applyFill="1" applyBorder="1" applyAlignment="1">
      <alignment horizontal="center" vertical="center" wrapText="1"/>
    </xf>
    <xf numFmtId="0" fontId="7" fillId="9" borderId="121" xfId="0" applyFont="1" applyFill="1" applyBorder="1" applyAlignment="1">
      <alignment horizontal="center" vertical="center"/>
    </xf>
    <xf numFmtId="0" fontId="7" fillId="9" borderId="89" xfId="0" applyFont="1" applyFill="1" applyBorder="1" applyAlignment="1">
      <alignment horizontal="center" vertical="center" wrapText="1"/>
    </xf>
    <xf numFmtId="0" fontId="7" fillId="9" borderId="123" xfId="0" applyFont="1" applyFill="1" applyBorder="1" applyAlignment="1">
      <alignment horizontal="center" vertical="center" wrapText="1"/>
    </xf>
    <xf numFmtId="0" fontId="15" fillId="9" borderId="0" xfId="0" applyFont="1" applyFill="1">
      <alignment vertical="center"/>
    </xf>
    <xf numFmtId="0" fontId="15" fillId="20" borderId="0" xfId="0" applyFont="1" applyFill="1">
      <alignment vertical="center"/>
    </xf>
    <xf numFmtId="0" fontId="7" fillId="9" borderId="94" xfId="0" applyFont="1" applyFill="1" applyBorder="1" applyAlignment="1">
      <alignment horizontal="center" vertical="center"/>
    </xf>
    <xf numFmtId="0" fontId="7" fillId="9" borderId="124" xfId="0" applyFont="1" applyFill="1" applyBorder="1" applyAlignment="1">
      <alignment horizontal="center" vertical="center" wrapText="1"/>
    </xf>
    <xf numFmtId="0" fontId="0" fillId="0" borderId="124" xfId="0" applyBorder="1" applyAlignment="1">
      <alignment horizontal="center" vertical="center" wrapText="1"/>
    </xf>
    <xf numFmtId="0" fontId="0" fillId="0" borderId="196" xfId="0" applyBorder="1" applyAlignment="1">
      <alignment horizontal="center" vertical="center" wrapText="1"/>
    </xf>
    <xf numFmtId="0" fontId="0" fillId="9" borderId="0" xfId="0" applyFill="1" applyAlignment="1">
      <alignment horizontal="left" wrapText="1"/>
    </xf>
    <xf numFmtId="0" fontId="11" fillId="9" borderId="0" xfId="0" applyFont="1" applyFill="1" applyAlignment="1">
      <alignment horizontal="left"/>
    </xf>
    <xf numFmtId="0" fontId="11" fillId="9" borderId="0" xfId="0" applyFont="1" applyFill="1" applyAlignment="1">
      <alignment horizontal="left" wrapText="1"/>
    </xf>
    <xf numFmtId="0" fontId="8" fillId="20" borderId="0" xfId="0" applyFont="1" applyFill="1">
      <alignment vertical="center"/>
    </xf>
    <xf numFmtId="0" fontId="8" fillId="20" borderId="0" xfId="0" applyFont="1" applyFill="1" applyAlignment="1">
      <alignment horizontal="left" vertical="center"/>
    </xf>
    <xf numFmtId="0" fontId="39" fillId="9" borderId="0" xfId="0" applyFont="1" applyFill="1" applyAlignment="1">
      <alignment horizontal="left" vertical="top" wrapText="1"/>
    </xf>
    <xf numFmtId="0" fontId="14" fillId="9" borderId="0" xfId="0" applyFont="1" applyFill="1" applyAlignment="1">
      <alignment vertical="center" wrapText="1"/>
    </xf>
    <xf numFmtId="0" fontId="58" fillId="9" borderId="0" xfId="0" applyFont="1" applyFill="1" applyAlignment="1">
      <alignment vertical="center" wrapText="1"/>
    </xf>
    <xf numFmtId="0" fontId="58" fillId="20" borderId="0" xfId="0" applyFont="1" applyFill="1" applyAlignment="1">
      <alignment horizontal="center" vertical="center" wrapText="1"/>
    </xf>
    <xf numFmtId="0" fontId="14" fillId="2" borderId="32" xfId="0" applyFont="1" applyFill="1" applyBorder="1" applyAlignment="1">
      <alignment horizontal="center" vertical="center"/>
    </xf>
    <xf numFmtId="0" fontId="14" fillId="2" borderId="45" xfId="0" applyFont="1" applyFill="1" applyBorder="1" applyAlignment="1">
      <alignment horizontal="center" vertical="center" wrapText="1"/>
    </xf>
    <xf numFmtId="0" fontId="14" fillId="9" borderId="123" xfId="0" applyFont="1" applyFill="1" applyBorder="1" applyAlignment="1">
      <alignment horizontal="center" vertical="center"/>
    </xf>
    <xf numFmtId="0" fontId="14" fillId="9" borderId="124" xfId="0" applyFont="1" applyFill="1" applyBorder="1" applyAlignment="1">
      <alignment horizontal="center" vertical="center"/>
    </xf>
    <xf numFmtId="0" fontId="14" fillId="9" borderId="42" xfId="0" applyFont="1" applyFill="1" applyBorder="1" applyAlignment="1">
      <alignment horizontal="center" vertical="center"/>
    </xf>
    <xf numFmtId="0" fontId="14" fillId="9" borderId="196" xfId="0" applyFont="1" applyFill="1" applyBorder="1" applyAlignment="1">
      <alignment horizontal="center" vertical="center"/>
    </xf>
    <xf numFmtId="0" fontId="14" fillId="9" borderId="50" xfId="0" applyFont="1" applyFill="1" applyBorder="1" applyAlignment="1">
      <alignment horizontal="center" vertical="center"/>
    </xf>
    <xf numFmtId="0" fontId="14" fillId="9" borderId="198" xfId="0" applyFont="1" applyFill="1" applyBorder="1" applyAlignment="1">
      <alignment horizontal="center" vertical="center"/>
    </xf>
    <xf numFmtId="0" fontId="14" fillId="37" borderId="206" xfId="0" applyFont="1" applyFill="1" applyBorder="1">
      <alignment vertical="center"/>
    </xf>
    <xf numFmtId="0" fontId="14" fillId="10" borderId="0" xfId="0" applyFont="1" applyFill="1" applyAlignment="1">
      <alignment horizontal="center" vertical="center"/>
    </xf>
    <xf numFmtId="0" fontId="8" fillId="10" borderId="0" xfId="0" applyFont="1" applyFill="1" applyAlignment="1">
      <alignment horizontal="right" vertical="center"/>
    </xf>
    <xf numFmtId="0" fontId="8" fillId="10" borderId="0" xfId="0" applyFont="1" applyFill="1">
      <alignment vertical="center"/>
    </xf>
    <xf numFmtId="0" fontId="8" fillId="9" borderId="0" xfId="0" applyFont="1" applyFill="1" applyAlignment="1">
      <alignment vertical="center" wrapText="1"/>
    </xf>
    <xf numFmtId="0" fontId="0" fillId="2" borderId="190" xfId="0" applyFill="1" applyBorder="1" applyAlignment="1">
      <alignment horizontal="center" vertical="center"/>
    </xf>
    <xf numFmtId="0" fontId="0" fillId="2" borderId="191" xfId="0" applyFill="1" applyBorder="1" applyAlignment="1">
      <alignment horizontal="center" vertical="center"/>
    </xf>
    <xf numFmtId="0" fontId="8" fillId="9" borderId="0" xfId="0" applyFont="1" applyFill="1" applyAlignment="1">
      <alignment horizontal="left" vertical="center"/>
    </xf>
    <xf numFmtId="0" fontId="0" fillId="9" borderId="190" xfId="0" applyFill="1" applyBorder="1" applyAlignment="1">
      <alignment vertical="center" wrapText="1"/>
    </xf>
    <xf numFmtId="0" fontId="0" fillId="9" borderId="191" xfId="0" applyFill="1" applyBorder="1" applyAlignment="1">
      <alignment vertical="center" wrapText="1"/>
    </xf>
    <xf numFmtId="0" fontId="0" fillId="2" borderId="191" xfId="0" applyFill="1" applyBorder="1" applyAlignment="1">
      <alignment horizontal="center" vertical="center" wrapText="1"/>
    </xf>
    <xf numFmtId="49" fontId="11" fillId="10" borderId="0" xfId="0" applyNumberFormat="1" applyFont="1" applyFill="1" applyAlignment="1">
      <alignment horizontal="right" vertical="center"/>
    </xf>
    <xf numFmtId="0" fontId="8" fillId="2" borderId="201" xfId="0" applyFont="1" applyFill="1" applyBorder="1" applyAlignment="1">
      <alignment horizontal="center" vertical="center"/>
    </xf>
    <xf numFmtId="0" fontId="22" fillId="2" borderId="202" xfId="0" applyFont="1" applyFill="1" applyBorder="1" applyAlignment="1">
      <alignment horizontal="left" vertical="center"/>
    </xf>
    <xf numFmtId="0" fontId="8" fillId="2" borderId="104" xfId="0" applyFont="1" applyFill="1" applyBorder="1" applyAlignment="1">
      <alignment horizontal="left" vertical="center"/>
    </xf>
    <xf numFmtId="0" fontId="8" fillId="2" borderId="71" xfId="0" applyFont="1" applyFill="1" applyBorder="1" applyAlignment="1">
      <alignment horizontal="left" vertical="center"/>
    </xf>
    <xf numFmtId="0" fontId="8" fillId="2" borderId="105" xfId="0" applyFont="1" applyFill="1" applyBorder="1" applyAlignment="1">
      <alignment horizontal="center" vertical="center"/>
    </xf>
    <xf numFmtId="0" fontId="8" fillId="2" borderId="203" xfId="0" applyFont="1" applyFill="1" applyBorder="1" applyAlignment="1">
      <alignment horizontal="center" vertical="center"/>
    </xf>
    <xf numFmtId="49" fontId="11" fillId="10" borderId="0" xfId="0" applyNumberFormat="1" applyFont="1" applyFill="1" applyAlignment="1">
      <alignment horizontal="center" vertical="center"/>
    </xf>
    <xf numFmtId="0" fontId="11" fillId="10" borderId="0" xfId="0" applyFont="1" applyFill="1" applyAlignment="1">
      <alignment horizontal="left" vertical="center"/>
    </xf>
    <xf numFmtId="0" fontId="0" fillId="9" borderId="71" xfId="0" applyFill="1" applyBorder="1" applyAlignment="1">
      <alignment horizontal="left" vertical="center"/>
    </xf>
    <xf numFmtId="0" fontId="17" fillId="9" borderId="71" xfId="0" applyFont="1" applyFill="1" applyBorder="1">
      <alignment vertical="center"/>
    </xf>
    <xf numFmtId="0" fontId="17" fillId="9" borderId="14" xfId="0" applyFont="1" applyFill="1" applyBorder="1">
      <alignment vertical="center"/>
    </xf>
    <xf numFmtId="0" fontId="0" fillId="9" borderId="118" xfId="0" applyFill="1" applyBorder="1">
      <alignment vertical="center"/>
    </xf>
    <xf numFmtId="0" fontId="0" fillId="9" borderId="104" xfId="0" applyFill="1" applyBorder="1">
      <alignment vertical="center"/>
    </xf>
    <xf numFmtId="0" fontId="0" fillId="9" borderId="61" xfId="0" applyFill="1" applyBorder="1">
      <alignment vertical="center"/>
    </xf>
    <xf numFmtId="0" fontId="11" fillId="10" borderId="0" xfId="0" applyFont="1" applyFill="1">
      <alignment vertical="center"/>
    </xf>
    <xf numFmtId="0" fontId="8" fillId="2" borderId="198" xfId="0" applyFont="1" applyFill="1" applyBorder="1" applyAlignment="1">
      <alignment horizontal="center" vertical="center"/>
    </xf>
    <xf numFmtId="0" fontId="8" fillId="2" borderId="195" xfId="0" applyFont="1" applyFill="1" applyBorder="1" applyAlignment="1">
      <alignment vertical="center" wrapText="1"/>
    </xf>
    <xf numFmtId="0" fontId="8" fillId="2" borderId="197" xfId="0" applyFont="1" applyFill="1" applyBorder="1" applyAlignment="1">
      <alignment vertical="center" wrapText="1"/>
    </xf>
    <xf numFmtId="179" fontId="8" fillId="10" borderId="123" xfId="20" applyNumberFormat="1" applyFont="1" applyFill="1" applyBorder="1" applyAlignment="1" applyProtection="1">
      <alignment horizontal="left" vertical="center" shrinkToFit="1"/>
    </xf>
    <xf numFmtId="0" fontId="15" fillId="2" borderId="48" xfId="0" applyFont="1" applyFill="1" applyBorder="1" applyAlignment="1">
      <alignment horizontal="center" vertical="center" wrapText="1"/>
    </xf>
    <xf numFmtId="0" fontId="15" fillId="9" borderId="124" xfId="0" applyFont="1" applyFill="1" applyBorder="1" applyAlignment="1">
      <alignment horizontal="center" vertical="center"/>
    </xf>
    <xf numFmtId="0" fontId="15" fillId="9" borderId="40" xfId="0" applyFont="1" applyFill="1" applyBorder="1" applyAlignment="1">
      <alignment horizontal="center" vertical="center" shrinkToFit="1"/>
    </xf>
    <xf numFmtId="0" fontId="15" fillId="9" borderId="41" xfId="0" applyFont="1" applyFill="1" applyBorder="1" applyAlignment="1">
      <alignment horizontal="center" vertical="center" wrapText="1"/>
    </xf>
    <xf numFmtId="0" fontId="15" fillId="9" borderId="41" xfId="0" applyFont="1" applyFill="1" applyBorder="1" applyAlignment="1">
      <alignment horizontal="center" vertical="center" shrinkToFit="1"/>
    </xf>
    <xf numFmtId="0" fontId="15" fillId="9" borderId="42" xfId="0" applyFont="1" applyFill="1" applyBorder="1" applyAlignment="1">
      <alignment horizontal="center" vertical="center" shrinkToFit="1"/>
    </xf>
    <xf numFmtId="0" fontId="15" fillId="9" borderId="44" xfId="0" applyFont="1" applyFill="1" applyBorder="1" applyAlignment="1">
      <alignment horizontal="center" vertical="center" shrinkToFit="1"/>
    </xf>
    <xf numFmtId="0" fontId="15" fillId="9" borderId="150" xfId="0" applyFont="1" applyFill="1" applyBorder="1" applyAlignment="1">
      <alignment horizontal="center" vertical="center" wrapText="1"/>
    </xf>
    <xf numFmtId="0" fontId="15" fillId="9" borderId="150" xfId="0" applyFont="1" applyFill="1" applyBorder="1" applyAlignment="1">
      <alignment horizontal="center" vertical="center" shrinkToFit="1"/>
    </xf>
    <xf numFmtId="0" fontId="15" fillId="9" borderId="62" xfId="0" applyFont="1" applyFill="1" applyBorder="1" applyAlignment="1">
      <alignment horizontal="center" vertical="center" shrinkToFit="1"/>
    </xf>
    <xf numFmtId="0" fontId="15" fillId="2" borderId="124" xfId="0" applyFont="1" applyFill="1" applyBorder="1" applyAlignment="1">
      <alignment horizontal="center" vertical="center"/>
    </xf>
    <xf numFmtId="0" fontId="39" fillId="9" borderId="0" xfId="0" applyFont="1" applyFill="1">
      <alignment vertical="center"/>
    </xf>
    <xf numFmtId="178" fontId="0" fillId="9" borderId="0" xfId="0" applyNumberFormat="1" applyFill="1">
      <alignment vertical="center"/>
    </xf>
    <xf numFmtId="0" fontId="14" fillId="10" borderId="0" xfId="0" applyFont="1" applyFill="1" applyAlignment="1">
      <alignment horizontal="right" vertical="center"/>
    </xf>
    <xf numFmtId="49" fontId="14" fillId="20" borderId="0" xfId="0" applyNumberFormat="1" applyFont="1" applyFill="1" applyAlignment="1">
      <alignment horizontal="right" vertical="center"/>
    </xf>
    <xf numFmtId="0" fontId="14" fillId="9" borderId="0" xfId="0" applyFont="1" applyFill="1" applyAlignment="1">
      <alignment horizontal="right" vertical="center"/>
    </xf>
    <xf numFmtId="49" fontId="14" fillId="10" borderId="0" xfId="0" applyNumberFormat="1" applyFont="1" applyFill="1" applyAlignment="1">
      <alignment horizontal="right" vertical="center"/>
    </xf>
    <xf numFmtId="0" fontId="14" fillId="9" borderId="96" xfId="0" applyFont="1" applyFill="1" applyBorder="1">
      <alignment vertical="center"/>
    </xf>
    <xf numFmtId="0" fontId="14" fillId="9" borderId="124" xfId="0" applyFont="1" applyFill="1" applyBorder="1" applyAlignment="1">
      <alignment horizontal="left" vertical="center"/>
    </xf>
    <xf numFmtId="0" fontId="14" fillId="9" borderId="125" xfId="0" applyFont="1" applyFill="1" applyBorder="1" applyAlignment="1">
      <alignment horizontal="left" vertical="center"/>
    </xf>
    <xf numFmtId="0" fontId="14" fillId="9" borderId="195" xfId="0" applyFont="1" applyFill="1" applyBorder="1" applyAlignment="1">
      <alignment horizontal="left" vertical="center"/>
    </xf>
    <xf numFmtId="0" fontId="14" fillId="9" borderId="21" xfId="0" applyFont="1" applyFill="1" applyBorder="1" applyAlignment="1">
      <alignment horizontal="left" vertical="center"/>
    </xf>
    <xf numFmtId="0" fontId="14" fillId="18" borderId="196" xfId="0" applyFont="1" applyFill="1" applyBorder="1" applyAlignment="1">
      <alignment horizontal="left" vertical="center"/>
    </xf>
    <xf numFmtId="0" fontId="14" fillId="18" borderId="195" xfId="0" applyFont="1" applyFill="1" applyBorder="1" applyAlignment="1">
      <alignment horizontal="left" vertical="center"/>
    </xf>
    <xf numFmtId="0" fontId="14" fillId="18" borderId="69" xfId="0" applyFont="1" applyFill="1" applyBorder="1" applyAlignment="1">
      <alignment horizontal="left" vertical="center"/>
    </xf>
    <xf numFmtId="0" fontId="14" fillId="2" borderId="26" xfId="0" applyFont="1" applyFill="1" applyBorder="1" applyAlignment="1">
      <alignment horizontal="center" vertical="center" shrinkToFit="1"/>
    </xf>
    <xf numFmtId="0" fontId="14" fillId="2" borderId="19" xfId="0" applyFont="1" applyFill="1" applyBorder="1" applyAlignment="1">
      <alignment horizontal="center" vertical="center" wrapText="1"/>
    </xf>
    <xf numFmtId="0" fontId="14" fillId="9" borderId="120" xfId="0" applyFont="1" applyFill="1" applyBorder="1" applyAlignment="1">
      <alignment horizontal="left" vertical="center"/>
    </xf>
    <xf numFmtId="0" fontId="14" fillId="9" borderId="0" xfId="0" applyFont="1" applyFill="1" applyAlignment="1"/>
    <xf numFmtId="0" fontId="14" fillId="9" borderId="96" xfId="0" applyFont="1" applyFill="1" applyBorder="1" applyAlignment="1"/>
    <xf numFmtId="0" fontId="14" fillId="9" borderId="0" xfId="0" applyFont="1" applyFill="1" applyAlignment="1">
      <alignment wrapText="1"/>
    </xf>
    <xf numFmtId="0" fontId="14" fillId="10" borderId="0" xfId="0" applyFont="1" applyFill="1" applyAlignment="1">
      <alignment horizontal="left" vertical="center"/>
    </xf>
    <xf numFmtId="0" fontId="14" fillId="9" borderId="134" xfId="0" applyFont="1" applyFill="1" applyBorder="1" applyAlignment="1">
      <alignment horizontal="left" vertical="center"/>
    </xf>
    <xf numFmtId="178" fontId="14" fillId="9" borderId="0" xfId="0" applyNumberFormat="1" applyFont="1" applyFill="1">
      <alignment vertical="center"/>
    </xf>
    <xf numFmtId="0" fontId="14" fillId="9" borderId="34" xfId="0" applyFont="1" applyFill="1" applyBorder="1" applyAlignment="1" applyProtection="1">
      <alignment horizontal="left"/>
      <protection locked="0"/>
    </xf>
    <xf numFmtId="0" fontId="14" fillId="20" borderId="0" xfId="0" applyFont="1" applyFill="1" applyAlignment="1">
      <alignment horizontal="right" vertical="center"/>
    </xf>
    <xf numFmtId="0" fontId="16" fillId="9" borderId="0" xfId="0" applyFont="1" applyFill="1" applyAlignment="1">
      <alignment horizontal="center" vertical="center"/>
    </xf>
    <xf numFmtId="0" fontId="0" fillId="36" borderId="206" xfId="0" applyFill="1" applyBorder="1">
      <alignment vertical="center"/>
    </xf>
    <xf numFmtId="0" fontId="0" fillId="20" borderId="0" xfId="0" applyFill="1" applyAlignment="1">
      <alignment horizontal="right" vertical="center" wrapText="1"/>
    </xf>
    <xf numFmtId="0" fontId="40" fillId="20" borderId="0" xfId="0" applyFont="1" applyFill="1" applyAlignment="1">
      <alignment horizontal="right" vertical="center"/>
    </xf>
    <xf numFmtId="0" fontId="8" fillId="35" borderId="0" xfId="0" applyFont="1" applyFill="1">
      <alignment vertical="center"/>
    </xf>
    <xf numFmtId="0" fontId="0" fillId="35" borderId="0" xfId="0" applyFill="1" applyAlignment="1">
      <alignment horizontal="right" vertical="center"/>
    </xf>
    <xf numFmtId="0" fontId="8" fillId="0" borderId="0" xfId="0" applyFont="1">
      <alignment vertical="center"/>
    </xf>
    <xf numFmtId="0" fontId="0" fillId="20" borderId="195" xfId="0" applyFill="1" applyBorder="1">
      <alignment vertical="center"/>
    </xf>
    <xf numFmtId="0" fontId="0" fillId="35" borderId="0" xfId="0" applyFill="1">
      <alignment vertical="center"/>
    </xf>
    <xf numFmtId="0" fontId="14" fillId="35" borderId="0" xfId="0" applyFont="1" applyFill="1" applyAlignment="1">
      <alignment vertical="center" wrapText="1"/>
    </xf>
    <xf numFmtId="0" fontId="14" fillId="34" borderId="0" xfId="0" applyFont="1" applyFill="1" applyAlignment="1">
      <alignment vertical="center" wrapText="1"/>
    </xf>
    <xf numFmtId="49" fontId="24" fillId="2" borderId="27" xfId="0" applyNumberFormat="1" applyFont="1" applyFill="1" applyBorder="1" applyAlignment="1">
      <alignment horizontal="center" vertical="center" wrapText="1"/>
    </xf>
    <xf numFmtId="49" fontId="24" fillId="2" borderId="126" xfId="0" applyNumberFormat="1" applyFont="1" applyFill="1" applyBorder="1" applyAlignment="1">
      <alignment horizontal="center" vertical="center" wrapText="1"/>
    </xf>
    <xf numFmtId="0" fontId="14" fillId="18" borderId="1" xfId="0" applyFont="1" applyFill="1" applyBorder="1" applyAlignment="1">
      <alignment horizontal="center" vertical="center"/>
    </xf>
    <xf numFmtId="0" fontId="0" fillId="20" borderId="96" xfId="0" applyFill="1" applyBorder="1">
      <alignment vertical="center"/>
    </xf>
    <xf numFmtId="0" fontId="14" fillId="20" borderId="128" xfId="0" applyFont="1" applyFill="1" applyBorder="1">
      <alignment vertical="center"/>
    </xf>
    <xf numFmtId="0" fontId="0" fillId="0" borderId="123" xfId="0" applyBorder="1" applyAlignment="1">
      <alignment horizontal="center" vertical="center"/>
    </xf>
    <xf numFmtId="0" fontId="0" fillId="18" borderId="123" xfId="0" applyFill="1" applyBorder="1">
      <alignment vertical="center"/>
    </xf>
    <xf numFmtId="0" fontId="22" fillId="26" borderId="44" xfId="0" applyFont="1" applyFill="1" applyBorder="1">
      <alignment vertical="center"/>
    </xf>
    <xf numFmtId="0" fontId="14" fillId="26" borderId="150" xfId="0" applyFont="1" applyFill="1" applyBorder="1" applyAlignment="1">
      <alignment horizontal="center" vertical="center" wrapText="1"/>
    </xf>
    <xf numFmtId="0" fontId="14" fillId="25" borderId="123" xfId="0" applyFont="1" applyFill="1" applyBorder="1" applyAlignment="1">
      <alignment horizontal="center" vertical="center"/>
    </xf>
    <xf numFmtId="0" fontId="46" fillId="15" borderId="123" xfId="0" applyFont="1" applyFill="1" applyBorder="1" applyAlignment="1" applyProtection="1">
      <alignment horizontal="center" vertical="center"/>
      <protection locked="0"/>
    </xf>
    <xf numFmtId="0" fontId="8" fillId="0" borderId="0" xfId="0" applyFont="1" applyAlignment="1">
      <alignment horizontal="right" vertical="center"/>
    </xf>
    <xf numFmtId="0" fontId="0" fillId="36" borderId="206" xfId="0" applyFill="1" applyBorder="1" applyAlignment="1">
      <alignment horizontal="center" vertical="center"/>
    </xf>
    <xf numFmtId="0" fontId="72" fillId="0" borderId="0" xfId="0" applyFont="1">
      <alignment vertical="center"/>
    </xf>
    <xf numFmtId="0" fontId="7" fillId="0" borderId="0" xfId="0" applyFont="1" applyAlignment="1">
      <alignment horizontal="left" vertical="center"/>
    </xf>
    <xf numFmtId="0" fontId="15" fillId="27" borderId="50" xfId="0" applyFont="1" applyFill="1" applyBorder="1" applyAlignment="1">
      <alignment horizontal="center" vertical="center" wrapText="1"/>
    </xf>
    <xf numFmtId="0" fontId="87" fillId="0" borderId="0" xfId="0" applyFont="1">
      <alignment vertical="center"/>
    </xf>
    <xf numFmtId="0" fontId="14" fillId="0" borderId="123" xfId="0" applyFont="1" applyBorder="1" applyAlignment="1">
      <alignment horizontal="center" vertical="center" wrapText="1"/>
    </xf>
    <xf numFmtId="0" fontId="77" fillId="0" borderId="198" xfId="0" applyFont="1" applyBorder="1" applyAlignment="1">
      <alignment horizontal="center" vertical="center"/>
    </xf>
    <xf numFmtId="0" fontId="14" fillId="25" borderId="124" xfId="0" applyFont="1" applyFill="1" applyBorder="1" applyAlignment="1">
      <alignment horizontal="center" vertical="center"/>
    </xf>
    <xf numFmtId="0" fontId="87" fillId="0" borderId="0" xfId="0" applyFont="1" applyAlignment="1">
      <alignment vertical="top" wrapText="1"/>
    </xf>
    <xf numFmtId="0" fontId="87" fillId="0" borderId="0" xfId="0" applyFont="1" applyAlignment="1">
      <alignment vertical="top"/>
    </xf>
    <xf numFmtId="0" fontId="14" fillId="0" borderId="0" xfId="0" applyFont="1" applyAlignment="1">
      <alignment horizontal="left" vertical="center" wrapText="1"/>
    </xf>
    <xf numFmtId="0" fontId="8" fillId="0" borderId="0" xfId="0" applyFont="1" applyAlignment="1">
      <alignment horizontal="center" vertical="center"/>
    </xf>
    <xf numFmtId="0" fontId="88" fillId="0" borderId="0" xfId="0" applyFont="1">
      <alignment vertical="center"/>
    </xf>
    <xf numFmtId="0" fontId="0" fillId="20" borderId="34" xfId="0" applyFill="1" applyBorder="1" applyAlignment="1" applyProtection="1">
      <alignment horizontal="left" vertical="center"/>
      <protection locked="0"/>
    </xf>
    <xf numFmtId="0" fontId="14" fillId="20" borderId="114" xfId="0" applyFont="1" applyFill="1" applyBorder="1" applyAlignment="1">
      <alignment horizontal="left" vertical="center"/>
    </xf>
    <xf numFmtId="0" fontId="0" fillId="20" borderId="77" xfId="0" applyFill="1" applyBorder="1" applyAlignment="1">
      <alignment horizontal="left" vertical="center"/>
    </xf>
    <xf numFmtId="0" fontId="46" fillId="20" borderId="77" xfId="21" applyFont="1" applyFill="1" applyBorder="1" applyAlignment="1">
      <alignment horizontal="left" vertical="center"/>
    </xf>
    <xf numFmtId="0" fontId="20" fillId="20" borderId="0" xfId="0" applyFont="1" applyFill="1" applyAlignment="1">
      <alignment horizontal="left" vertical="center" wrapText="1"/>
    </xf>
    <xf numFmtId="0" fontId="46" fillId="0" borderId="123" xfId="23" applyFont="1" applyBorder="1" applyAlignment="1" applyProtection="1">
      <alignment horizontal="left" vertical="center" wrapText="1"/>
      <protection locked="0"/>
    </xf>
    <xf numFmtId="0" fontId="46" fillId="0" borderId="120" xfId="23" applyFont="1" applyBorder="1" applyAlignment="1" applyProtection="1">
      <alignment horizontal="left" vertical="center" wrapText="1"/>
      <protection locked="0"/>
    </xf>
    <xf numFmtId="0" fontId="68" fillId="0" borderId="0" xfId="0" applyFont="1" applyAlignment="1">
      <alignment horizontal="center" vertical="center"/>
    </xf>
    <xf numFmtId="0" fontId="11" fillId="20" borderId="34" xfId="0" applyFont="1" applyFill="1" applyBorder="1" applyAlignment="1">
      <alignment horizontal="left" vertical="center"/>
    </xf>
    <xf numFmtId="0" fontId="0" fillId="0" borderId="197" xfId="0" applyBorder="1" applyAlignment="1">
      <alignment horizontal="left" vertical="center" wrapText="1"/>
    </xf>
    <xf numFmtId="0" fontId="0" fillId="0" borderId="128" xfId="0" quotePrefix="1" applyBorder="1" applyAlignment="1">
      <alignment horizontal="center" vertical="center"/>
    </xf>
    <xf numFmtId="0" fontId="0" fillId="20" borderId="224" xfId="0" applyFill="1" applyBorder="1" applyAlignment="1">
      <alignment horizontal="left" vertical="center" wrapText="1"/>
    </xf>
    <xf numFmtId="0" fontId="15" fillId="43" borderId="123" xfId="0" applyFont="1" applyFill="1" applyBorder="1" applyAlignment="1">
      <alignment horizontal="center" vertical="center"/>
    </xf>
    <xf numFmtId="0" fontId="39" fillId="0" borderId="0" xfId="0" applyFont="1">
      <alignment vertical="center"/>
    </xf>
    <xf numFmtId="0" fontId="15" fillId="0" borderId="123" xfId="0" applyFont="1" applyBorder="1" applyAlignment="1">
      <alignment horizontal="center" vertical="center"/>
    </xf>
    <xf numFmtId="0" fontId="15" fillId="0" borderId="0" xfId="0" applyFont="1" applyAlignment="1">
      <alignment horizontal="center" vertical="center"/>
    </xf>
    <xf numFmtId="0" fontId="0" fillId="20" borderId="225" xfId="0" applyFill="1" applyBorder="1" applyAlignment="1">
      <alignment horizontal="left" vertical="center" wrapText="1"/>
    </xf>
    <xf numFmtId="0" fontId="0" fillId="20" borderId="226" xfId="0" applyFill="1" applyBorder="1" applyAlignment="1">
      <alignment horizontal="left" vertical="center" wrapText="1"/>
    </xf>
    <xf numFmtId="0" fontId="0" fillId="20" borderId="228" xfId="0" applyFill="1" applyBorder="1" applyAlignment="1">
      <alignment horizontal="left" vertical="center" wrapText="1"/>
    </xf>
    <xf numFmtId="0" fontId="15" fillId="2" borderId="41" xfId="0" applyFont="1" applyFill="1" applyBorder="1" applyAlignment="1">
      <alignment horizontal="center" vertical="center" wrapText="1"/>
    </xf>
    <xf numFmtId="38" fontId="14" fillId="3" borderId="1" xfId="0" applyNumberFormat="1" applyFont="1" applyFill="1" applyBorder="1" applyAlignment="1" applyProtection="1">
      <alignment horizontal="center" vertical="center"/>
      <protection locked="0"/>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5" fillId="2" borderId="229" xfId="0" applyFont="1" applyFill="1" applyBorder="1" applyAlignment="1">
      <alignment horizontal="center" vertical="center" wrapText="1"/>
    </xf>
    <xf numFmtId="0" fontId="14" fillId="2" borderId="124" xfId="0" applyFont="1" applyFill="1" applyBorder="1">
      <alignment vertical="center"/>
    </xf>
    <xf numFmtId="0" fontId="15" fillId="9" borderId="150" xfId="0" applyFont="1" applyFill="1" applyBorder="1" applyAlignment="1">
      <alignment horizontal="center" vertical="center"/>
    </xf>
    <xf numFmtId="0" fontId="17" fillId="9" borderId="51" xfId="0" applyFont="1" applyFill="1" applyBorder="1" applyAlignment="1">
      <alignment horizontal="center" vertical="center" wrapText="1"/>
    </xf>
    <xf numFmtId="0" fontId="15" fillId="9" borderId="199" xfId="0" applyFont="1" applyFill="1" applyBorder="1" applyAlignment="1">
      <alignment horizontal="center" vertical="center"/>
    </xf>
    <xf numFmtId="0" fontId="15" fillId="9" borderId="62" xfId="0" applyFont="1" applyFill="1" applyBorder="1" applyAlignment="1">
      <alignment horizontal="center" vertical="center" wrapText="1"/>
    </xf>
    <xf numFmtId="183" fontId="15" fillId="3" borderId="1" xfId="0" applyNumberFormat="1" applyFont="1"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0" fontId="15" fillId="2" borderId="42" xfId="0" applyFont="1" applyFill="1" applyBorder="1" applyAlignment="1">
      <alignment horizontal="left" vertical="center" wrapText="1"/>
    </xf>
    <xf numFmtId="0" fontId="14" fillId="30" borderId="1" xfId="0" applyFont="1" applyFill="1" applyBorder="1" applyAlignment="1" applyProtection="1">
      <alignment vertical="center" wrapText="1"/>
      <protection locked="0"/>
    </xf>
    <xf numFmtId="0" fontId="15" fillId="20" borderId="230" xfId="0" applyFont="1" applyFill="1" applyBorder="1" applyAlignment="1">
      <alignment horizontal="left" vertical="center"/>
    </xf>
    <xf numFmtId="0" fontId="46" fillId="0" borderId="0" xfId="9" applyFont="1">
      <alignment vertical="center"/>
    </xf>
    <xf numFmtId="0" fontId="94" fillId="0" borderId="0" xfId="9" applyFont="1" applyAlignment="1">
      <alignment horizontal="left" vertical="center"/>
    </xf>
    <xf numFmtId="184" fontId="46" fillId="0" borderId="0" xfId="9" applyNumberFormat="1" applyFont="1">
      <alignment vertical="center"/>
    </xf>
    <xf numFmtId="0" fontId="95" fillId="0" borderId="0" xfId="9" applyFont="1">
      <alignment vertical="center"/>
    </xf>
    <xf numFmtId="0" fontId="96" fillId="0" borderId="0" xfId="9" applyFont="1">
      <alignment vertical="center"/>
    </xf>
    <xf numFmtId="0" fontId="69" fillId="48" borderId="235" xfId="9" applyFont="1" applyFill="1" applyBorder="1" applyAlignment="1">
      <alignment horizontal="center" vertical="center" wrapText="1" readingOrder="1"/>
    </xf>
    <xf numFmtId="0" fontId="69" fillId="48" borderId="236" xfId="9" applyFont="1" applyFill="1" applyBorder="1" applyAlignment="1">
      <alignment horizontal="center" vertical="center" wrapText="1" readingOrder="1"/>
    </xf>
    <xf numFmtId="0" fontId="69" fillId="48" borderId="231" xfId="9" applyFont="1" applyFill="1" applyBorder="1" applyAlignment="1">
      <alignment horizontal="center" vertical="center" wrapText="1" readingOrder="1"/>
    </xf>
    <xf numFmtId="0" fontId="69" fillId="48" borderId="241" xfId="9" applyFont="1" applyFill="1" applyBorder="1" applyAlignment="1">
      <alignment horizontal="center" vertical="center" wrapText="1" readingOrder="1"/>
    </xf>
    <xf numFmtId="0" fontId="69" fillId="48" borderId="242" xfId="9" applyFont="1" applyFill="1" applyBorder="1" applyAlignment="1">
      <alignment horizontal="center" vertical="center" wrapText="1" readingOrder="1"/>
    </xf>
    <xf numFmtId="0" fontId="35" fillId="0" borderId="0" xfId="9" applyFont="1">
      <alignment vertical="center"/>
    </xf>
    <xf numFmtId="0" fontId="69" fillId="49" borderId="0" xfId="9" applyFont="1" applyFill="1" applyAlignment="1">
      <alignment horizontal="center" vertical="center" wrapText="1" readingOrder="1"/>
    </xf>
    <xf numFmtId="0" fontId="97" fillId="49" borderId="268" xfId="9" applyFont="1" applyFill="1" applyBorder="1" applyAlignment="1">
      <alignment horizontal="center" vertical="center" wrapText="1" readingOrder="1"/>
    </xf>
    <xf numFmtId="0" fontId="97" fillId="49" borderId="265" xfId="9" applyFont="1" applyFill="1" applyBorder="1" applyAlignment="1">
      <alignment horizontal="center" vertical="center" wrapText="1" readingOrder="1"/>
    </xf>
    <xf numFmtId="0" fontId="97" fillId="49" borderId="128" xfId="9" applyFont="1" applyFill="1" applyBorder="1" applyAlignment="1">
      <alignment horizontal="center" vertical="center" wrapText="1" readingOrder="1"/>
    </xf>
    <xf numFmtId="0" fontId="69" fillId="49" borderId="270" xfId="9" applyFont="1" applyFill="1" applyBorder="1" applyAlignment="1">
      <alignment vertical="center" wrapText="1" readingOrder="1"/>
    </xf>
    <xf numFmtId="0" fontId="69" fillId="49" borderId="271" xfId="9" applyFont="1" applyFill="1" applyBorder="1" applyAlignment="1">
      <alignment horizontal="center" vertical="center" wrapText="1" readingOrder="1"/>
    </xf>
    <xf numFmtId="0" fontId="69" fillId="49" borderId="0" xfId="9" applyFont="1" applyFill="1" applyAlignment="1">
      <alignment vertical="center" wrapText="1" readingOrder="1"/>
    </xf>
    <xf numFmtId="0" fontId="69" fillId="49" borderId="61" xfId="9" applyFont="1" applyFill="1" applyBorder="1" applyAlignment="1">
      <alignment horizontal="center" vertical="center" wrapText="1" readingOrder="1"/>
    </xf>
    <xf numFmtId="0" fontId="35" fillId="0" borderId="0" xfId="9" applyFont="1" applyAlignment="1">
      <alignment horizontal="left" vertical="center"/>
    </xf>
    <xf numFmtId="184" fontId="32" fillId="0" borderId="0" xfId="9" applyNumberFormat="1">
      <alignment vertical="center"/>
    </xf>
    <xf numFmtId="0" fontId="0" fillId="20" borderId="230" xfId="0" applyFill="1" applyBorder="1" applyAlignment="1">
      <alignment horizontal="center" vertical="center"/>
    </xf>
    <xf numFmtId="185" fontId="32" fillId="15" borderId="1" xfId="24" applyNumberFormat="1" applyFont="1" applyFill="1" applyBorder="1" applyAlignment="1" applyProtection="1">
      <alignment horizontal="center" vertical="center"/>
      <protection locked="0"/>
    </xf>
    <xf numFmtId="0" fontId="0" fillId="20" borderId="105" xfId="0" applyFill="1" applyBorder="1" applyAlignment="1">
      <alignment horizontal="left" vertical="center" wrapText="1"/>
    </xf>
    <xf numFmtId="0" fontId="100" fillId="7" borderId="1" xfId="0" applyFont="1" applyFill="1" applyBorder="1" applyAlignment="1" applyProtection="1">
      <alignment horizontal="center" vertical="center" shrinkToFit="1"/>
      <protection locked="0"/>
    </xf>
    <xf numFmtId="0" fontId="0" fillId="20" borderId="197"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20" borderId="73" xfId="0" applyFill="1" applyBorder="1" applyAlignment="1">
      <alignment horizontal="left" vertical="center" wrapText="1"/>
    </xf>
    <xf numFmtId="0" fontId="0" fillId="20" borderId="134" xfId="0" applyFill="1" applyBorder="1" applyAlignment="1">
      <alignment horizontal="left" vertical="center" wrapText="1"/>
    </xf>
    <xf numFmtId="0" fontId="15" fillId="20" borderId="133" xfId="0" applyFont="1" applyFill="1" applyBorder="1" applyAlignment="1">
      <alignment horizontal="center" vertical="center"/>
    </xf>
    <xf numFmtId="0" fontId="52" fillId="25" borderId="0" xfId="0" applyFont="1" applyFill="1" applyAlignment="1">
      <alignment horizontal="right" vertical="center"/>
    </xf>
    <xf numFmtId="0" fontId="75" fillId="0" borderId="5" xfId="0" applyFont="1" applyBorder="1">
      <alignment vertical="center"/>
    </xf>
    <xf numFmtId="0" fontId="62" fillId="0" borderId="5" xfId="0" applyFont="1" applyBorder="1" applyAlignment="1">
      <alignment vertical="center" wrapText="1"/>
    </xf>
    <xf numFmtId="0" fontId="69" fillId="0" borderId="5" xfId="0" applyFont="1" applyBorder="1">
      <alignment vertical="center"/>
    </xf>
    <xf numFmtId="0" fontId="74" fillId="0" borderId="5" xfId="0" applyFont="1" applyBorder="1" applyAlignment="1">
      <alignment horizontal="left" vertical="center" wrapText="1"/>
    </xf>
    <xf numFmtId="0" fontId="74" fillId="0" borderId="5" xfId="0" applyFont="1" applyBorder="1" applyAlignment="1">
      <alignment vertical="center" wrapText="1"/>
    </xf>
    <xf numFmtId="0" fontId="62" fillId="41" borderId="196" xfId="0" applyFont="1" applyFill="1" applyBorder="1" applyAlignment="1">
      <alignment horizontal="center" vertical="center"/>
    </xf>
    <xf numFmtId="0" fontId="62" fillId="41" borderId="207" xfId="0" applyFont="1" applyFill="1" applyBorder="1" applyAlignment="1">
      <alignment horizontal="left" vertical="center"/>
    </xf>
    <xf numFmtId="0" fontId="62" fillId="41" borderId="207" xfId="0" applyFont="1" applyFill="1" applyBorder="1" applyAlignment="1">
      <alignment horizontal="center" vertical="center"/>
    </xf>
    <xf numFmtId="0" fontId="62" fillId="41" borderId="197" xfId="0" applyFont="1" applyFill="1" applyBorder="1" applyAlignment="1">
      <alignment vertical="center" wrapText="1"/>
    </xf>
    <xf numFmtId="0" fontId="62" fillId="20" borderId="128" xfId="0" applyFont="1" applyFill="1" applyBorder="1" applyAlignment="1">
      <alignment horizontal="center" vertical="center"/>
    </xf>
    <xf numFmtId="0" fontId="62" fillId="20" borderId="196" xfId="0" applyFont="1" applyFill="1" applyBorder="1" applyAlignment="1">
      <alignment horizontal="center" vertical="center"/>
    </xf>
    <xf numFmtId="0" fontId="62" fillId="20" borderId="207" xfId="0" applyFont="1" applyFill="1" applyBorder="1" applyAlignment="1">
      <alignment horizontal="center" vertical="center"/>
    </xf>
    <xf numFmtId="0" fontId="62" fillId="20" borderId="198" xfId="0" applyFont="1" applyFill="1" applyBorder="1" applyAlignment="1">
      <alignment vertical="center" wrapText="1"/>
    </xf>
    <xf numFmtId="0" fontId="62" fillId="20" borderId="89" xfId="0" applyFont="1" applyFill="1" applyBorder="1" applyAlignment="1">
      <alignment horizontal="center" vertical="center"/>
    </xf>
    <xf numFmtId="0" fontId="62" fillId="20" borderId="133" xfId="0" applyFont="1" applyFill="1" applyBorder="1" applyAlignment="1">
      <alignment horizontal="center" vertical="center"/>
    </xf>
    <xf numFmtId="0" fontId="62" fillId="20" borderId="141" xfId="0" applyFont="1" applyFill="1" applyBorder="1" applyAlignment="1">
      <alignment vertical="center" wrapText="1"/>
    </xf>
    <xf numFmtId="0" fontId="62" fillId="20" borderId="146" xfId="0" applyFont="1" applyFill="1" applyBorder="1" applyAlignment="1">
      <alignment vertical="center" wrapText="1"/>
    </xf>
    <xf numFmtId="0" fontId="62" fillId="20" borderId="136" xfId="0" applyFont="1" applyFill="1" applyBorder="1" applyAlignment="1">
      <alignment horizontal="center" vertical="center"/>
    </xf>
    <xf numFmtId="0" fontId="62" fillId="20" borderId="143" xfId="0" applyFont="1" applyFill="1" applyBorder="1" applyAlignment="1">
      <alignment vertical="center" wrapText="1"/>
    </xf>
    <xf numFmtId="0" fontId="62" fillId="20" borderId="137" xfId="0" applyFont="1" applyFill="1" applyBorder="1" applyAlignment="1">
      <alignment horizontal="center" vertical="center"/>
    </xf>
    <xf numFmtId="0" fontId="62" fillId="20" borderId="135" xfId="0" applyFont="1" applyFill="1" applyBorder="1" applyAlignment="1">
      <alignment vertical="center" wrapText="1"/>
    </xf>
    <xf numFmtId="0" fontId="62" fillId="20" borderId="219" xfId="0" applyFont="1" applyFill="1" applyBorder="1" applyAlignment="1">
      <alignment horizontal="center" vertical="center"/>
    </xf>
    <xf numFmtId="0" fontId="62" fillId="20" borderId="134" xfId="0" applyFont="1" applyFill="1" applyBorder="1" applyAlignment="1">
      <alignment horizontal="center" vertical="center"/>
    </xf>
    <xf numFmtId="0" fontId="32" fillId="20" borderId="124" xfId="0" applyFont="1" applyFill="1" applyBorder="1" applyAlignment="1">
      <alignment horizontal="center" vertical="center"/>
    </xf>
    <xf numFmtId="0" fontId="62" fillId="20" borderId="125" xfId="0" applyFont="1" applyFill="1" applyBorder="1" applyAlignment="1">
      <alignment horizontal="center" vertical="center"/>
    </xf>
    <xf numFmtId="0" fontId="62" fillId="20" borderId="123" xfId="0" applyFont="1" applyFill="1" applyBorder="1" applyAlignment="1">
      <alignment vertical="center" wrapText="1"/>
    </xf>
    <xf numFmtId="0" fontId="62" fillId="0" borderId="196" xfId="0" applyFont="1" applyBorder="1" applyAlignment="1">
      <alignment horizontal="left" vertical="center"/>
    </xf>
    <xf numFmtId="0" fontId="62" fillId="0" borderId="207" xfId="0" applyFont="1" applyBorder="1" applyAlignment="1">
      <alignment horizontal="left" vertical="center"/>
    </xf>
    <xf numFmtId="0" fontId="62" fillId="0" borderId="207" xfId="0" applyFont="1" applyBorder="1" applyAlignment="1">
      <alignment horizontal="center" vertical="center"/>
    </xf>
    <xf numFmtId="0" fontId="62" fillId="0" borderId="197" xfId="0" applyFont="1" applyBorder="1" applyAlignment="1">
      <alignment vertical="center" wrapText="1"/>
    </xf>
    <xf numFmtId="0" fontId="62" fillId="0" borderId="128" xfId="0" applyFont="1" applyBorder="1" applyAlignment="1">
      <alignment horizontal="left" vertical="center"/>
    </xf>
    <xf numFmtId="0" fontId="62" fillId="20" borderId="0" xfId="0" applyFont="1" applyFill="1" applyAlignment="1">
      <alignment horizontal="center" vertical="center"/>
    </xf>
    <xf numFmtId="0" fontId="62" fillId="0" borderId="123" xfId="0" applyFont="1" applyBorder="1" applyAlignment="1">
      <alignment horizontal="left" vertical="center"/>
    </xf>
    <xf numFmtId="0" fontId="62" fillId="20" borderId="128" xfId="0" applyFont="1" applyFill="1" applyBorder="1">
      <alignment vertical="center"/>
    </xf>
    <xf numFmtId="0" fontId="62" fillId="20" borderId="152" xfId="0" applyFont="1" applyFill="1" applyBorder="1" applyAlignment="1">
      <alignment horizontal="right" vertical="center" wrapText="1"/>
    </xf>
    <xf numFmtId="0" fontId="62" fillId="20" borderId="197" xfId="0" applyFont="1" applyFill="1" applyBorder="1" applyAlignment="1">
      <alignment horizontal="center" vertical="center"/>
    </xf>
    <xf numFmtId="0" fontId="62" fillId="20" borderId="171" xfId="0" applyFont="1" applyFill="1" applyBorder="1" applyAlignment="1">
      <alignment vertical="center" wrapText="1"/>
    </xf>
    <xf numFmtId="0" fontId="62" fillId="20" borderId="43" xfId="0" applyFont="1" applyFill="1" applyBorder="1" applyAlignment="1">
      <alignment horizontal="right" vertical="top" wrapText="1"/>
    </xf>
    <xf numFmtId="0" fontId="62" fillId="20" borderId="151" xfId="0" applyFont="1" applyFill="1" applyBorder="1" applyAlignment="1">
      <alignment horizontal="right" vertical="center" wrapText="1"/>
    </xf>
    <xf numFmtId="0" fontId="62" fillId="20" borderId="43" xfId="0" applyFont="1" applyFill="1" applyBorder="1" applyAlignment="1">
      <alignment horizontal="right" vertical="center" wrapText="1"/>
    </xf>
    <xf numFmtId="0" fontId="62" fillId="20" borderId="151" xfId="0" applyFont="1" applyFill="1" applyBorder="1" applyAlignment="1">
      <alignment horizontal="left" vertical="top" wrapText="1"/>
    </xf>
    <xf numFmtId="0" fontId="62" fillId="20" borderId="151" xfId="0" applyFont="1" applyFill="1" applyBorder="1" applyAlignment="1">
      <alignment horizontal="left" vertical="center" wrapText="1"/>
    </xf>
    <xf numFmtId="0" fontId="62" fillId="20" borderId="163" xfId="0" applyFont="1" applyFill="1" applyBorder="1" applyAlignment="1">
      <alignment horizontal="left" vertical="center" wrapText="1"/>
    </xf>
    <xf numFmtId="0" fontId="62" fillId="20" borderId="124" xfId="0" applyFont="1" applyFill="1" applyBorder="1" applyAlignment="1">
      <alignment horizontal="center" vertical="center"/>
    </xf>
    <xf numFmtId="0" fontId="62" fillId="20" borderId="43" xfId="0" applyFont="1" applyFill="1" applyBorder="1" applyAlignment="1">
      <alignment vertical="center" wrapText="1"/>
    </xf>
    <xf numFmtId="0" fontId="62" fillId="20" borderId="138" xfId="0" applyFont="1" applyFill="1" applyBorder="1" applyAlignment="1">
      <alignment horizontal="center" vertical="center"/>
    </xf>
    <xf numFmtId="0" fontId="62" fillId="20" borderId="140" xfId="0" applyFont="1" applyFill="1" applyBorder="1" applyAlignment="1">
      <alignment horizontal="center" vertical="center"/>
    </xf>
    <xf numFmtId="0" fontId="62" fillId="20" borderId="144" xfId="0" applyFont="1" applyFill="1" applyBorder="1" applyAlignment="1">
      <alignment vertical="center" wrapText="1"/>
    </xf>
    <xf numFmtId="0" fontId="62" fillId="20" borderId="142" xfId="0" applyFont="1" applyFill="1" applyBorder="1" applyAlignment="1">
      <alignment vertical="center" wrapText="1"/>
    </xf>
    <xf numFmtId="0" fontId="62" fillId="20" borderId="145" xfId="0" applyFont="1" applyFill="1" applyBorder="1" applyAlignment="1">
      <alignment vertical="center" wrapText="1"/>
    </xf>
    <xf numFmtId="0" fontId="62" fillId="20" borderId="139" xfId="0" applyFont="1" applyFill="1" applyBorder="1" applyAlignment="1">
      <alignment horizontal="center" vertical="center"/>
    </xf>
    <xf numFmtId="0" fontId="62" fillId="20" borderId="156" xfId="0" applyFont="1" applyFill="1" applyBorder="1" applyAlignment="1">
      <alignment horizontal="right" vertical="center" wrapText="1"/>
    </xf>
    <xf numFmtId="0" fontId="62" fillId="20" borderId="155" xfId="0" applyFont="1" applyFill="1" applyBorder="1" applyAlignment="1">
      <alignment horizontal="right" vertical="center" wrapText="1"/>
    </xf>
    <xf numFmtId="0" fontId="62" fillId="20" borderId="156" xfId="0" applyFont="1" applyFill="1" applyBorder="1" applyAlignment="1">
      <alignment vertical="center" wrapText="1"/>
    </xf>
    <xf numFmtId="0" fontId="62" fillId="20" borderId="170" xfId="0" applyFont="1" applyFill="1" applyBorder="1" applyAlignment="1">
      <alignment vertical="center" wrapText="1"/>
    </xf>
    <xf numFmtId="0" fontId="62" fillId="20" borderId="212" xfId="0" applyFont="1" applyFill="1" applyBorder="1" applyAlignment="1">
      <alignment vertical="center" wrapText="1"/>
    </xf>
    <xf numFmtId="0" fontId="62" fillId="20" borderId="142" xfId="0" applyFont="1" applyFill="1" applyBorder="1" applyAlignment="1">
      <alignment horizontal="left" vertical="center" wrapText="1"/>
    </xf>
    <xf numFmtId="0" fontId="62" fillId="20" borderId="142" xfId="0" applyFont="1" applyFill="1" applyBorder="1" applyAlignment="1">
      <alignment horizontal="right" vertical="center" wrapText="1"/>
    </xf>
    <xf numFmtId="0" fontId="62" fillId="20" borderId="21" xfId="0" applyFont="1" applyFill="1" applyBorder="1" applyAlignment="1">
      <alignment horizontal="left" vertical="center" wrapText="1"/>
    </xf>
    <xf numFmtId="0" fontId="62" fillId="20" borderId="166" xfId="0" applyFont="1" applyFill="1" applyBorder="1" applyAlignment="1">
      <alignment vertical="center" wrapText="1"/>
    </xf>
    <xf numFmtId="0" fontId="62" fillId="20" borderId="21" xfId="0" applyFont="1" applyFill="1" applyBorder="1" applyAlignment="1">
      <alignment horizontal="center" vertical="center"/>
    </xf>
    <xf numFmtId="0" fontId="62" fillId="20" borderId="212" xfId="0" applyFont="1" applyFill="1" applyBorder="1" applyAlignment="1">
      <alignment horizontal="right" vertical="center" wrapText="1"/>
    </xf>
    <xf numFmtId="0" fontId="62" fillId="39" borderId="207" xfId="0" applyFont="1" applyFill="1" applyBorder="1" applyAlignment="1">
      <alignment horizontal="left" vertical="center"/>
    </xf>
    <xf numFmtId="0" fontId="62" fillId="39" borderId="207" xfId="0" applyFont="1" applyFill="1" applyBorder="1" applyAlignment="1">
      <alignment horizontal="center" vertical="center"/>
    </xf>
    <xf numFmtId="0" fontId="62" fillId="39" borderId="197" xfId="0" applyFont="1" applyFill="1" applyBorder="1" applyAlignment="1">
      <alignment vertical="center" wrapText="1"/>
    </xf>
    <xf numFmtId="0" fontId="62" fillId="40" borderId="196" xfId="0" quotePrefix="1" applyFont="1" applyFill="1" applyBorder="1" applyAlignment="1">
      <alignment horizontal="center" vertical="center"/>
    </xf>
    <xf numFmtId="0" fontId="62" fillId="20" borderId="143" xfId="0" applyFont="1" applyFill="1" applyBorder="1" applyAlignment="1">
      <alignment horizontal="center" vertical="center" wrapText="1"/>
    </xf>
    <xf numFmtId="0" fontId="62" fillId="20" borderId="135" xfId="0" applyFont="1" applyFill="1" applyBorder="1" applyAlignment="1">
      <alignment horizontal="center" vertical="center" wrapText="1"/>
    </xf>
    <xf numFmtId="0" fontId="62" fillId="20" borderId="146" xfId="0" applyFont="1" applyFill="1" applyBorder="1" applyAlignment="1">
      <alignment horizontal="center" vertical="center" wrapText="1"/>
    </xf>
    <xf numFmtId="0" fontId="62" fillId="20" borderId="158" xfId="0" applyFont="1" applyFill="1" applyBorder="1" applyAlignment="1">
      <alignment horizontal="center" vertical="center" wrapText="1"/>
    </xf>
    <xf numFmtId="0" fontId="62" fillId="20" borderId="123" xfId="0" applyFont="1" applyFill="1" applyBorder="1" applyAlignment="1">
      <alignment horizontal="center" vertical="center" wrapText="1"/>
    </xf>
    <xf numFmtId="0" fontId="62" fillId="20" borderId="198" xfId="0" applyFont="1" applyFill="1" applyBorder="1" applyAlignment="1">
      <alignment horizontal="center" vertical="center" wrapText="1"/>
    </xf>
    <xf numFmtId="0" fontId="62" fillId="41" borderId="207" xfId="0" applyFont="1" applyFill="1" applyBorder="1" applyAlignment="1">
      <alignment horizontal="center" vertical="center" wrapText="1"/>
    </xf>
    <xf numFmtId="0" fontId="62" fillId="0" borderId="124" xfId="0" applyFont="1" applyBorder="1" applyAlignment="1">
      <alignment horizontal="center" vertical="center" wrapText="1"/>
    </xf>
    <xf numFmtId="0" fontId="62" fillId="0" borderId="207" xfId="0" applyFont="1" applyBorder="1" applyAlignment="1">
      <alignment horizontal="center" vertical="center" wrapText="1"/>
    </xf>
    <xf numFmtId="0" fontId="62" fillId="20" borderId="152" xfId="0" applyFont="1" applyFill="1" applyBorder="1" applyAlignment="1">
      <alignment horizontal="center" vertical="center" wrapText="1"/>
    </xf>
    <xf numFmtId="0" fontId="62" fillId="20" borderId="185" xfId="0" applyFont="1" applyFill="1" applyBorder="1" applyAlignment="1">
      <alignment horizontal="center" vertical="center" wrapText="1"/>
    </xf>
    <xf numFmtId="0" fontId="62" fillId="20" borderId="173" xfId="0" applyFont="1" applyFill="1" applyBorder="1" applyAlignment="1">
      <alignment horizontal="center" vertical="center" wrapText="1"/>
    </xf>
    <xf numFmtId="0" fontId="62" fillId="20" borderId="8" xfId="0" applyFont="1" applyFill="1" applyBorder="1" applyAlignment="1">
      <alignment horizontal="center" vertical="center" wrapText="1"/>
    </xf>
    <xf numFmtId="0" fontId="62" fillId="20" borderId="151" xfId="0" applyFont="1" applyFill="1" applyBorder="1" applyAlignment="1">
      <alignment horizontal="center" vertical="center" wrapText="1"/>
    </xf>
    <xf numFmtId="0" fontId="62" fillId="20" borderId="163" xfId="0" applyFont="1" applyFill="1" applyBorder="1" applyAlignment="1">
      <alignment horizontal="center" vertical="center" wrapText="1"/>
    </xf>
    <xf numFmtId="0" fontId="62" fillId="20" borderId="43" xfId="0" applyFont="1" applyFill="1" applyBorder="1" applyAlignment="1">
      <alignment horizontal="center" vertical="center" wrapText="1"/>
    </xf>
    <xf numFmtId="0" fontId="62" fillId="41" borderId="197" xfId="0" applyFont="1" applyFill="1" applyBorder="1" applyAlignment="1">
      <alignment horizontal="center" vertical="center" wrapText="1"/>
    </xf>
    <xf numFmtId="0" fontId="62" fillId="20" borderId="141" xfId="0" applyFont="1" applyFill="1" applyBorder="1" applyAlignment="1">
      <alignment horizontal="center" vertical="center" wrapText="1"/>
    </xf>
    <xf numFmtId="0" fontId="62" fillId="20" borderId="144" xfId="0" applyFont="1" applyFill="1" applyBorder="1" applyAlignment="1">
      <alignment horizontal="center" vertical="center" wrapText="1"/>
    </xf>
    <xf numFmtId="0" fontId="62" fillId="20" borderId="142" xfId="0" applyFont="1" applyFill="1" applyBorder="1" applyAlignment="1">
      <alignment horizontal="center" vertical="center" wrapText="1"/>
    </xf>
    <xf numFmtId="0" fontId="62" fillId="20" borderId="43" xfId="0" applyFont="1" applyFill="1" applyBorder="1" applyAlignment="1">
      <alignment horizontal="left" vertical="center" wrapText="1"/>
    </xf>
    <xf numFmtId="0" fontId="62" fillId="20" borderId="143" xfId="0" applyFont="1" applyFill="1" applyBorder="1" applyAlignment="1">
      <alignment horizontal="left" vertical="center" wrapText="1"/>
    </xf>
    <xf numFmtId="0" fontId="62" fillId="7" borderId="1" xfId="0" applyFont="1" applyFill="1" applyBorder="1" applyAlignment="1" applyProtection="1">
      <alignment horizontal="center" vertical="center"/>
      <protection locked="0"/>
    </xf>
    <xf numFmtId="0" fontId="62" fillId="20" borderId="123" xfId="0" applyFont="1" applyFill="1" applyBorder="1" applyAlignment="1">
      <alignment horizontal="left" vertical="center" wrapText="1"/>
    </xf>
    <xf numFmtId="0" fontId="62" fillId="20" borderId="146" xfId="0" applyFont="1" applyFill="1" applyBorder="1" applyAlignment="1">
      <alignment horizontal="left" vertical="center" wrapText="1"/>
    </xf>
    <xf numFmtId="0" fontId="62" fillId="20" borderId="145" xfId="0" applyFont="1" applyFill="1" applyBorder="1" applyAlignment="1">
      <alignment horizontal="center" vertical="center" wrapText="1"/>
    </xf>
    <xf numFmtId="0" fontId="62" fillId="20" borderId="145" xfId="0" applyFont="1" applyFill="1" applyBorder="1" applyAlignment="1">
      <alignment horizontal="left" vertical="center" wrapText="1"/>
    </xf>
    <xf numFmtId="0" fontId="62" fillId="20" borderId="153" xfId="0" applyFont="1" applyFill="1" applyBorder="1" applyAlignment="1">
      <alignment horizontal="center" vertical="center" wrapText="1"/>
    </xf>
    <xf numFmtId="0" fontId="62" fillId="20" borderId="1" xfId="0" applyFont="1" applyFill="1" applyBorder="1" applyAlignment="1">
      <alignment horizontal="center" vertical="center"/>
    </xf>
    <xf numFmtId="0" fontId="62" fillId="20" borderId="135" xfId="0" applyFont="1" applyFill="1" applyBorder="1" applyAlignment="1">
      <alignment horizontal="left" vertical="center" wrapText="1"/>
    </xf>
    <xf numFmtId="0" fontId="62" fillId="20" borderId="212" xfId="0" applyFont="1" applyFill="1" applyBorder="1" applyAlignment="1">
      <alignment horizontal="center" vertical="center" wrapText="1"/>
    </xf>
    <xf numFmtId="0" fontId="62" fillId="20" borderId="212" xfId="0" applyFont="1" applyFill="1" applyBorder="1" applyAlignment="1">
      <alignment horizontal="left" vertical="center" wrapText="1"/>
    </xf>
    <xf numFmtId="0" fontId="62" fillId="20" borderId="159" xfId="0" applyFont="1" applyFill="1" applyBorder="1" applyAlignment="1">
      <alignment horizontal="center" vertical="center" wrapText="1"/>
    </xf>
    <xf numFmtId="0" fontId="62" fillId="20" borderId="225" xfId="0" applyFont="1" applyFill="1" applyBorder="1" applyAlignment="1">
      <alignment horizontal="left" vertical="center" wrapText="1"/>
    </xf>
    <xf numFmtId="0" fontId="62" fillId="20" borderId="141" xfId="0" applyFont="1" applyFill="1" applyBorder="1" applyAlignment="1">
      <alignment horizontal="left" vertical="center" wrapText="1"/>
    </xf>
    <xf numFmtId="0" fontId="62" fillId="41" borderId="197" xfId="0" applyFont="1" applyFill="1" applyBorder="1" applyAlignment="1">
      <alignment horizontal="left" vertical="center" wrapText="1"/>
    </xf>
    <xf numFmtId="0" fontId="62" fillId="20" borderId="128" xfId="0" applyFont="1" applyFill="1" applyBorder="1" applyAlignment="1">
      <alignment horizontal="center" vertical="center" wrapText="1"/>
    </xf>
    <xf numFmtId="0" fontId="62" fillId="20" borderId="226" xfId="0" applyFont="1" applyFill="1" applyBorder="1" applyAlignment="1">
      <alignment horizontal="left" vertical="center" wrapText="1"/>
    </xf>
    <xf numFmtId="0" fontId="62" fillId="20" borderId="198" xfId="0" applyFont="1" applyFill="1" applyBorder="1" applyAlignment="1">
      <alignment horizontal="left" vertical="center" wrapText="1"/>
    </xf>
    <xf numFmtId="0" fontId="62" fillId="20" borderId="167" xfId="0" applyFont="1" applyFill="1" applyBorder="1" applyAlignment="1">
      <alignment horizontal="center" vertical="center" wrapText="1"/>
    </xf>
    <xf numFmtId="0" fontId="62" fillId="20" borderId="166" xfId="0" applyFont="1" applyFill="1" applyBorder="1" applyAlignment="1">
      <alignment horizontal="left" vertical="center" wrapText="1"/>
    </xf>
    <xf numFmtId="0" fontId="62" fillId="20" borderId="165" xfId="0" applyFont="1" applyFill="1" applyBorder="1" applyAlignment="1">
      <alignment horizontal="center" vertical="center" wrapText="1"/>
    </xf>
    <xf numFmtId="0" fontId="32" fillId="15" borderId="1" xfId="0" applyFont="1" applyFill="1" applyBorder="1" applyAlignment="1" applyProtection="1">
      <alignment horizontal="center" vertical="center"/>
      <protection locked="0"/>
    </xf>
    <xf numFmtId="0" fontId="62" fillId="20" borderId="152" xfId="0" applyFont="1" applyFill="1" applyBorder="1" applyAlignment="1">
      <alignment horizontal="left" vertical="center" wrapText="1"/>
    </xf>
    <xf numFmtId="0" fontId="62" fillId="20" borderId="160" xfId="0" applyFont="1" applyFill="1" applyBorder="1" applyAlignment="1">
      <alignment horizontal="center" vertical="center" wrapText="1"/>
    </xf>
    <xf numFmtId="0" fontId="62" fillId="39" borderId="197" xfId="0" applyFont="1" applyFill="1" applyBorder="1" applyAlignment="1">
      <alignment horizontal="center" vertical="center" wrapText="1"/>
    </xf>
    <xf numFmtId="0" fontId="62" fillId="39" borderId="197" xfId="0" applyFont="1" applyFill="1" applyBorder="1" applyAlignment="1">
      <alignment horizontal="left" vertical="center" wrapText="1"/>
    </xf>
    <xf numFmtId="0" fontId="62" fillId="20" borderId="197" xfId="0" applyFont="1" applyFill="1" applyBorder="1" applyAlignment="1">
      <alignment horizontal="center" vertical="center" wrapText="1"/>
    </xf>
    <xf numFmtId="0" fontId="62" fillId="0" borderId="198" xfId="0" applyFont="1" applyBorder="1" applyAlignment="1">
      <alignment horizontal="left" vertical="center" wrapText="1"/>
    </xf>
    <xf numFmtId="0" fontId="62" fillId="20" borderId="141" xfId="0" applyFont="1" applyFill="1" applyBorder="1" applyAlignment="1">
      <alignment horizontal="right" vertical="center" wrapText="1"/>
    </xf>
    <xf numFmtId="0" fontId="62" fillId="0" borderId="198" xfId="0" applyFont="1" applyBorder="1" applyAlignment="1">
      <alignment vertical="center" wrapText="1"/>
    </xf>
    <xf numFmtId="0" fontId="62" fillId="41" borderId="196" xfId="0" applyFont="1" applyFill="1" applyBorder="1" applyAlignment="1">
      <alignment horizontal="center" vertical="center" wrapText="1"/>
    </xf>
    <xf numFmtId="0" fontId="62" fillId="41" borderId="133" xfId="0" applyFont="1" applyFill="1" applyBorder="1" applyAlignment="1">
      <alignment horizontal="left" vertical="center"/>
    </xf>
    <xf numFmtId="0" fontId="62" fillId="41" borderId="133" xfId="0" applyFont="1" applyFill="1" applyBorder="1" applyAlignment="1">
      <alignment horizontal="center" vertical="center"/>
    </xf>
    <xf numFmtId="0" fontId="62" fillId="41" borderId="134" xfId="0" applyFont="1" applyFill="1" applyBorder="1" applyAlignment="1">
      <alignment vertical="center" wrapText="1"/>
    </xf>
    <xf numFmtId="0" fontId="62" fillId="41" borderId="230" xfId="0" applyFont="1" applyFill="1" applyBorder="1" applyAlignment="1">
      <alignment horizontal="center" vertical="center" wrapText="1"/>
    </xf>
    <xf numFmtId="0" fontId="62" fillId="41" borderId="21" xfId="0" applyFont="1" applyFill="1" applyBorder="1" applyAlignment="1">
      <alignment horizontal="left" vertical="center" wrapText="1"/>
    </xf>
    <xf numFmtId="0" fontId="62" fillId="20" borderId="220" xfId="0" applyFont="1" applyFill="1" applyBorder="1" applyAlignment="1">
      <alignment horizontal="center" vertical="center" wrapText="1"/>
    </xf>
    <xf numFmtId="0" fontId="62" fillId="41" borderId="230" xfId="0" applyFont="1" applyFill="1" applyBorder="1" applyAlignment="1">
      <alignment horizontal="center" vertical="center"/>
    </xf>
    <xf numFmtId="0" fontId="62" fillId="20" borderId="166" xfId="0" applyFont="1" applyFill="1" applyBorder="1" applyAlignment="1">
      <alignment horizontal="center" vertical="center" wrapText="1"/>
    </xf>
    <xf numFmtId="0" fontId="62" fillId="0" borderId="196" xfId="0" applyFont="1" applyBorder="1" applyAlignment="1">
      <alignment horizontal="center" vertical="center"/>
    </xf>
    <xf numFmtId="0" fontId="62" fillId="0" borderId="146" xfId="0" applyFont="1" applyBorder="1" applyAlignment="1">
      <alignment vertical="center" wrapText="1"/>
    </xf>
    <xf numFmtId="0" fontId="62" fillId="20" borderId="166" xfId="0" applyFont="1" applyFill="1" applyBorder="1" applyAlignment="1">
      <alignment horizontal="right" vertical="center" wrapText="1"/>
    </xf>
    <xf numFmtId="0" fontId="62" fillId="20" borderId="221" xfId="0" applyFont="1" applyFill="1" applyBorder="1" applyAlignment="1">
      <alignment horizontal="center" vertical="center" wrapText="1"/>
    </xf>
    <xf numFmtId="0" fontId="62" fillId="20" borderId="174" xfId="0" applyFont="1" applyFill="1" applyBorder="1" applyAlignment="1">
      <alignment horizontal="center" vertical="center" wrapText="1"/>
    </xf>
    <xf numFmtId="0" fontId="62" fillId="20" borderId="172" xfId="0" applyFont="1" applyFill="1" applyBorder="1" applyAlignment="1">
      <alignment horizontal="center" vertical="center" wrapText="1"/>
    </xf>
    <xf numFmtId="0" fontId="62" fillId="20" borderId="227" xfId="0" applyFont="1" applyFill="1" applyBorder="1" applyAlignment="1">
      <alignment horizontal="left" vertical="center" wrapText="1"/>
    </xf>
    <xf numFmtId="0" fontId="62" fillId="41" borderId="0" xfId="0" applyFont="1" applyFill="1" applyAlignment="1">
      <alignment horizontal="center" vertical="center"/>
    </xf>
    <xf numFmtId="0" fontId="62" fillId="41" borderId="125" xfId="0" applyFont="1" applyFill="1" applyBorder="1" applyAlignment="1">
      <alignment horizontal="center" vertical="center"/>
    </xf>
    <xf numFmtId="0" fontId="62" fillId="40" borderId="207" xfId="0" applyFont="1" applyFill="1" applyBorder="1" applyAlignment="1">
      <alignment horizontal="left" vertical="center"/>
    </xf>
    <xf numFmtId="0" fontId="62" fillId="40" borderId="207" xfId="0" applyFont="1" applyFill="1" applyBorder="1" applyAlignment="1">
      <alignment horizontal="center" vertical="center"/>
    </xf>
    <xf numFmtId="0" fontId="62" fillId="40" borderId="197" xfId="0" applyFont="1" applyFill="1" applyBorder="1">
      <alignment vertical="center"/>
    </xf>
    <xf numFmtId="0" fontId="62" fillId="39" borderId="196" xfId="0" quotePrefix="1" applyFont="1" applyFill="1" applyBorder="1" applyAlignment="1">
      <alignment horizontal="center" vertical="center"/>
    </xf>
    <xf numFmtId="0" fontId="62" fillId="20" borderId="120" xfId="0" applyFont="1" applyFill="1" applyBorder="1" applyAlignment="1">
      <alignment horizontal="center" vertical="center"/>
    </xf>
    <xf numFmtId="0" fontId="62" fillId="20" borderId="197" xfId="0" applyFont="1" applyFill="1" applyBorder="1" applyAlignment="1">
      <alignment horizontal="left" vertical="center" wrapText="1"/>
    </xf>
    <xf numFmtId="0" fontId="62" fillId="20" borderId="22" xfId="0" applyFont="1" applyFill="1" applyBorder="1" applyAlignment="1">
      <alignment horizontal="left" vertical="center" wrapText="1"/>
    </xf>
    <xf numFmtId="0" fontId="62" fillId="41" borderId="89" xfId="0" applyFont="1" applyFill="1" applyBorder="1" applyAlignment="1">
      <alignment horizontal="center" vertical="center"/>
    </xf>
    <xf numFmtId="0" fontId="62" fillId="41" borderId="134" xfId="0" applyFont="1" applyFill="1" applyBorder="1" applyAlignment="1">
      <alignment horizontal="center" vertical="center"/>
    </xf>
    <xf numFmtId="0" fontId="62" fillId="20" borderId="222" xfId="0" applyFont="1" applyFill="1" applyBorder="1" applyAlignment="1">
      <alignment horizontal="right" vertical="center" wrapText="1"/>
    </xf>
    <xf numFmtId="0" fontId="62" fillId="40" borderId="197" xfId="0" applyFont="1" applyFill="1" applyBorder="1" applyAlignment="1">
      <alignment horizontal="center" vertical="center"/>
    </xf>
    <xf numFmtId="0" fontId="62" fillId="39" borderId="196" xfId="0" applyFont="1" applyFill="1" applyBorder="1" applyAlignment="1">
      <alignment horizontal="center" vertical="center"/>
    </xf>
    <xf numFmtId="0" fontId="62" fillId="39" borderId="128" xfId="0" applyFont="1" applyFill="1" applyBorder="1" applyAlignment="1">
      <alignment horizontal="center" vertical="center"/>
    </xf>
    <xf numFmtId="0" fontId="62" fillId="39" borderId="0" xfId="0" applyFont="1" applyFill="1" applyAlignment="1">
      <alignment horizontal="center" vertical="center"/>
    </xf>
    <xf numFmtId="0" fontId="62" fillId="20" borderId="161" xfId="0" applyFont="1" applyFill="1" applyBorder="1" applyAlignment="1">
      <alignment vertical="center" wrapText="1"/>
    </xf>
    <xf numFmtId="0" fontId="62" fillId="20" borderId="161" xfId="0" applyFont="1" applyFill="1" applyBorder="1" applyAlignment="1">
      <alignment horizontal="center" vertical="center" wrapText="1"/>
    </xf>
    <xf numFmtId="0" fontId="62" fillId="20" borderId="162" xfId="0" applyFont="1" applyFill="1" applyBorder="1" applyAlignment="1">
      <alignment horizontal="right" vertical="center" wrapText="1"/>
    </xf>
    <xf numFmtId="0" fontId="62" fillId="20" borderId="162" xfId="0" applyFont="1" applyFill="1" applyBorder="1" applyAlignment="1">
      <alignment horizontal="center" vertical="center" wrapText="1"/>
    </xf>
    <xf numFmtId="0" fontId="62" fillId="39" borderId="197" xfId="0" applyFont="1" applyFill="1" applyBorder="1" applyAlignment="1">
      <alignment horizontal="center" vertical="center"/>
    </xf>
    <xf numFmtId="0" fontId="62" fillId="20" borderId="197" xfId="0" applyFont="1" applyFill="1" applyBorder="1" applyAlignment="1">
      <alignment vertical="center" wrapText="1"/>
    </xf>
    <xf numFmtId="0" fontId="62" fillId="39" borderId="89" xfId="0" applyFont="1" applyFill="1" applyBorder="1" applyAlignment="1">
      <alignment horizontal="center" vertical="center"/>
    </xf>
    <xf numFmtId="0" fontId="62" fillId="39" borderId="133" xfId="0" applyFont="1" applyFill="1" applyBorder="1" applyAlignment="1">
      <alignment horizontal="center" vertical="center"/>
    </xf>
    <xf numFmtId="0" fontId="62" fillId="39" borderId="134" xfId="0" applyFont="1" applyFill="1" applyBorder="1" applyAlignment="1">
      <alignment horizontal="center" vertical="center"/>
    </xf>
    <xf numFmtId="0" fontId="62" fillId="39" borderId="21" xfId="0" applyFont="1" applyFill="1" applyBorder="1" applyAlignment="1">
      <alignment horizontal="center" vertical="center"/>
    </xf>
    <xf numFmtId="0" fontId="62" fillId="20" borderId="163" xfId="0" applyFont="1" applyFill="1" applyBorder="1" applyAlignment="1">
      <alignment horizontal="right" vertical="center" wrapText="1"/>
    </xf>
    <xf numFmtId="0" fontId="62" fillId="20" borderId="21" xfId="0" applyFont="1" applyFill="1" applyBorder="1" applyAlignment="1">
      <alignment vertical="center" wrapText="1"/>
    </xf>
    <xf numFmtId="0" fontId="62" fillId="20" borderId="223" xfId="0" applyFont="1" applyFill="1" applyBorder="1" applyAlignment="1">
      <alignment horizontal="center" vertical="center" wrapText="1"/>
    </xf>
    <xf numFmtId="0" fontId="62" fillId="20" borderId="222" xfId="0" applyFont="1" applyFill="1" applyBorder="1" applyAlignment="1">
      <alignment horizontal="center" vertical="center" wrapText="1"/>
    </xf>
    <xf numFmtId="0" fontId="62" fillId="41" borderId="128" xfId="0" applyFont="1" applyFill="1" applyBorder="1" applyAlignment="1">
      <alignment horizontal="center" vertical="center"/>
    </xf>
    <xf numFmtId="0" fontId="62" fillId="20" borderId="161" xfId="0" applyFont="1" applyFill="1" applyBorder="1" applyAlignment="1">
      <alignment horizontal="left" vertical="center" wrapText="1"/>
    </xf>
    <xf numFmtId="0" fontId="62" fillId="0" borderId="212" xfId="0" applyFont="1" applyBorder="1" applyAlignment="1">
      <alignment horizontal="right" vertical="center" wrapText="1"/>
    </xf>
    <xf numFmtId="0" fontId="62" fillId="20" borderId="230" xfId="0" applyFont="1" applyFill="1" applyBorder="1" applyAlignment="1">
      <alignment horizontal="center" vertical="center"/>
    </xf>
    <xf numFmtId="0" fontId="62" fillId="20" borderId="196" xfId="0" applyFont="1" applyFill="1" applyBorder="1" applyAlignment="1">
      <alignment horizontal="left" vertical="center"/>
    </xf>
    <xf numFmtId="0" fontId="62" fillId="20" borderId="207" xfId="0" applyFont="1" applyFill="1" applyBorder="1" applyAlignment="1">
      <alignment horizontal="center" vertical="center" wrapText="1"/>
    </xf>
    <xf numFmtId="0" fontId="62" fillId="20" borderId="230" xfId="0" applyFont="1" applyFill="1" applyBorder="1" applyAlignment="1">
      <alignment horizontal="left" vertical="center"/>
    </xf>
    <xf numFmtId="0" fontId="62" fillId="20" borderId="133" xfId="0" applyFont="1" applyFill="1" applyBorder="1" applyAlignment="1">
      <alignment horizontal="left" vertical="center" wrapText="1"/>
    </xf>
    <xf numFmtId="0" fontId="62" fillId="20" borderId="133" xfId="0" applyFont="1" applyFill="1" applyBorder="1" applyAlignment="1">
      <alignment vertical="center" wrapText="1"/>
    </xf>
    <xf numFmtId="0" fontId="62" fillId="20" borderId="123" xfId="0" applyFont="1" applyFill="1" applyBorder="1">
      <alignment vertical="center"/>
    </xf>
    <xf numFmtId="0" fontId="62" fillId="20" borderId="21" xfId="0" applyFont="1" applyFill="1" applyBorder="1">
      <alignment vertical="center"/>
    </xf>
    <xf numFmtId="0" fontId="62" fillId="20" borderId="134" xfId="0" applyFont="1" applyFill="1" applyBorder="1">
      <alignment vertical="center"/>
    </xf>
    <xf numFmtId="0" fontId="62" fillId="20" borderId="198" xfId="0" applyFont="1" applyFill="1" applyBorder="1">
      <alignment vertical="center"/>
    </xf>
    <xf numFmtId="0" fontId="62" fillId="20" borderId="197" xfId="0" applyFont="1" applyFill="1" applyBorder="1">
      <alignment vertical="center"/>
    </xf>
    <xf numFmtId="0" fontId="62" fillId="20" borderId="125" xfId="0" applyFont="1" applyFill="1" applyBorder="1" applyAlignment="1">
      <alignment horizontal="center" vertical="center" wrapText="1"/>
    </xf>
    <xf numFmtId="0" fontId="62" fillId="20" borderId="120" xfId="0" applyFont="1" applyFill="1" applyBorder="1">
      <alignment vertical="center"/>
    </xf>
    <xf numFmtId="0" fontId="62" fillId="20" borderId="124" xfId="0" applyFont="1" applyFill="1" applyBorder="1">
      <alignment vertical="center"/>
    </xf>
    <xf numFmtId="0" fontId="62" fillId="20" borderId="123" xfId="0" applyFont="1" applyFill="1" applyBorder="1" applyAlignment="1">
      <alignment horizontal="left" vertical="center"/>
    </xf>
    <xf numFmtId="0" fontId="62" fillId="20" borderId="134" xfId="0" applyFont="1" applyFill="1" applyBorder="1" applyAlignment="1">
      <alignment vertical="center" wrapText="1"/>
    </xf>
    <xf numFmtId="0" fontId="62" fillId="41" borderId="124" xfId="0" applyFont="1" applyFill="1" applyBorder="1" applyAlignment="1">
      <alignment horizontal="center" vertical="center"/>
    </xf>
    <xf numFmtId="0" fontId="62" fillId="0" borderId="198" xfId="0" applyFont="1" applyBorder="1" applyAlignment="1">
      <alignment horizontal="center" vertical="center" wrapText="1"/>
    </xf>
    <xf numFmtId="0" fontId="62" fillId="0" borderId="159" xfId="0" applyFont="1" applyBorder="1" applyAlignment="1">
      <alignment horizontal="center" vertical="center" wrapText="1"/>
    </xf>
    <xf numFmtId="0" fontId="62" fillId="0" borderId="142" xfId="0" applyFont="1" applyBorder="1" applyAlignment="1">
      <alignment horizontal="center" vertical="center" wrapText="1"/>
    </xf>
    <xf numFmtId="0" fontId="62" fillId="0" borderId="166" xfId="0" applyFont="1" applyBorder="1" applyAlignment="1">
      <alignment horizontal="center" vertical="center" wrapText="1"/>
    </xf>
    <xf numFmtId="0" fontId="62" fillId="20" borderId="162" xfId="0" applyFont="1" applyFill="1" applyBorder="1" applyAlignment="1">
      <alignment horizontal="left" vertical="center" wrapText="1"/>
    </xf>
    <xf numFmtId="0" fontId="62" fillId="0" borderId="43" xfId="0" applyFont="1" applyBorder="1" applyAlignment="1">
      <alignment horizontal="center" vertical="center" wrapText="1"/>
    </xf>
    <xf numFmtId="0" fontId="62" fillId="0" borderId="141" xfId="0" applyFont="1" applyBorder="1" applyAlignment="1">
      <alignment horizontal="center" vertical="center" wrapText="1"/>
    </xf>
    <xf numFmtId="0" fontId="62" fillId="0" borderId="123" xfId="0" applyFont="1" applyBorder="1" applyAlignment="1">
      <alignment horizontal="center" vertical="center" wrapText="1"/>
    </xf>
    <xf numFmtId="0" fontId="62" fillId="0" borderId="163" xfId="0" quotePrefix="1" applyFont="1" applyBorder="1" applyAlignment="1">
      <alignment horizontal="center" vertical="center" wrapText="1"/>
    </xf>
    <xf numFmtId="0" fontId="62" fillId="20" borderId="162" xfId="0" quotePrefix="1" applyFont="1" applyFill="1" applyBorder="1" applyAlignment="1">
      <alignment horizontal="left" vertical="center" wrapText="1"/>
    </xf>
    <xf numFmtId="0" fontId="62" fillId="0" borderId="212" xfId="0" applyFont="1" applyBorder="1" applyAlignment="1">
      <alignment horizontal="center" vertical="center" wrapText="1"/>
    </xf>
    <xf numFmtId="0" fontId="62" fillId="20" borderId="163" xfId="0" quotePrefix="1" applyFont="1" applyFill="1" applyBorder="1" applyAlignment="1">
      <alignment horizontal="left" vertical="center" wrapText="1"/>
    </xf>
    <xf numFmtId="0" fontId="62" fillId="20" borderId="161" xfId="0" applyFont="1" applyFill="1" applyBorder="1" applyAlignment="1">
      <alignment horizontal="right" vertical="center" wrapText="1"/>
    </xf>
    <xf numFmtId="0" fontId="62" fillId="0" borderId="161" xfId="0" applyFont="1" applyBorder="1" applyAlignment="1">
      <alignment horizontal="center" vertical="center" wrapText="1"/>
    </xf>
    <xf numFmtId="0" fontId="62" fillId="20" borderId="212" xfId="0" quotePrefix="1" applyFont="1" applyFill="1" applyBorder="1" applyAlignment="1">
      <alignment horizontal="left" vertical="center" wrapText="1"/>
    </xf>
    <xf numFmtId="0" fontId="62" fillId="20" borderId="164" xfId="0" applyFont="1" applyFill="1" applyBorder="1" applyAlignment="1">
      <alignment horizontal="right" vertical="center" wrapText="1"/>
    </xf>
    <xf numFmtId="0" fontId="62" fillId="20" borderId="164" xfId="0" applyFont="1" applyFill="1" applyBorder="1" applyAlignment="1">
      <alignment horizontal="center" vertical="center" wrapText="1"/>
    </xf>
    <xf numFmtId="0" fontId="62" fillId="20" borderId="164" xfId="0" applyFont="1" applyFill="1" applyBorder="1" applyAlignment="1">
      <alignment horizontal="left" vertical="center" wrapText="1"/>
    </xf>
    <xf numFmtId="0" fontId="62" fillId="20" borderId="24" xfId="0" applyFont="1" applyFill="1" applyBorder="1" applyAlignment="1">
      <alignment horizontal="center" vertical="center" wrapText="1"/>
    </xf>
    <xf numFmtId="0" fontId="62" fillId="20" borderId="24" xfId="0" applyFont="1" applyFill="1" applyBorder="1" applyAlignment="1">
      <alignment horizontal="left" vertical="center" wrapText="1"/>
    </xf>
    <xf numFmtId="0" fontId="102" fillId="0" borderId="5" xfId="0" applyFont="1" applyBorder="1" applyAlignment="1">
      <alignment horizontal="left" vertical="center"/>
    </xf>
    <xf numFmtId="0" fontId="58" fillId="0" borderId="5" xfId="0" applyFont="1" applyBorder="1" applyAlignment="1">
      <alignment horizontal="left" vertical="center"/>
    </xf>
    <xf numFmtId="0" fontId="58" fillId="0" borderId="5" xfId="0" applyFont="1" applyBorder="1" applyAlignment="1">
      <alignment vertical="center" wrapText="1"/>
    </xf>
    <xf numFmtId="0" fontId="58" fillId="9" borderId="0" xfId="0" applyFont="1" applyFill="1">
      <alignment vertical="center"/>
    </xf>
    <xf numFmtId="0" fontId="58" fillId="9" borderId="0" xfId="0" applyFont="1" applyFill="1" applyAlignment="1">
      <alignment horizontal="left" vertical="center"/>
    </xf>
    <xf numFmtId="0" fontId="58" fillId="9" borderId="133" xfId="0" applyFont="1" applyFill="1" applyBorder="1" applyAlignment="1">
      <alignment horizontal="left" vertical="center"/>
    </xf>
    <xf numFmtId="0" fontId="58" fillId="2" borderId="198" xfId="0" applyFont="1" applyFill="1" applyBorder="1" applyAlignment="1">
      <alignment horizontal="center" vertical="center"/>
    </xf>
    <xf numFmtId="0" fontId="58" fillId="9" borderId="182" xfId="0" applyFont="1" applyFill="1" applyBorder="1" applyAlignment="1">
      <alignment horizontal="center" vertical="center" wrapText="1"/>
    </xf>
    <xf numFmtId="0" fontId="62" fillId="10" borderId="0" xfId="0" applyFont="1" applyFill="1" applyAlignment="1">
      <alignment horizontal="right" vertical="center"/>
    </xf>
    <xf numFmtId="0" fontId="62" fillId="0" borderId="207" xfId="0" applyFont="1" applyBorder="1">
      <alignment vertical="center"/>
    </xf>
    <xf numFmtId="0" fontId="62" fillId="9" borderId="0" xfId="0" applyFont="1" applyFill="1" applyAlignment="1">
      <alignment horizontal="right" vertical="center"/>
    </xf>
    <xf numFmtId="0" fontId="62" fillId="25" borderId="0" xfId="0" applyFont="1" applyFill="1" applyAlignment="1">
      <alignment horizontal="right" vertical="center"/>
    </xf>
    <xf numFmtId="0" fontId="58" fillId="0" borderId="0" xfId="0" applyFont="1" applyAlignment="1"/>
    <xf numFmtId="0" fontId="58" fillId="45" borderId="13" xfId="0" applyFont="1" applyFill="1" applyBorder="1" applyAlignment="1">
      <alignment horizontal="left" vertical="center"/>
    </xf>
    <xf numFmtId="0" fontId="62" fillId="20" borderId="0" xfId="0" applyFont="1" applyFill="1" applyAlignment="1">
      <alignment horizontal="right" vertical="center"/>
    </xf>
    <xf numFmtId="0" fontId="62" fillId="2" borderId="123" xfId="0" applyFont="1" applyFill="1" applyBorder="1" applyAlignment="1">
      <alignment horizontal="center" vertical="center"/>
    </xf>
    <xf numFmtId="0" fontId="62" fillId="0" borderId="0" xfId="0" applyFont="1" applyAlignment="1">
      <alignment horizontal="right" vertical="center"/>
    </xf>
    <xf numFmtId="0" fontId="62" fillId="0" borderId="0" xfId="0" applyFont="1" applyAlignment="1">
      <alignment horizontal="left" vertical="center"/>
    </xf>
    <xf numFmtId="0" fontId="69" fillId="0" borderId="53" xfId="0" applyFont="1" applyBorder="1">
      <alignment vertical="center"/>
    </xf>
    <xf numFmtId="0" fontId="69" fillId="0" borderId="19" xfId="0" applyFont="1" applyBorder="1">
      <alignment vertical="center"/>
    </xf>
    <xf numFmtId="0" fontId="62" fillId="20" borderId="124" xfId="0" applyFont="1" applyFill="1" applyBorder="1" applyAlignment="1">
      <alignment horizontal="center" vertical="center" wrapText="1"/>
    </xf>
    <xf numFmtId="0" fontId="0" fillId="20" borderId="120" xfId="0" applyFill="1" applyBorder="1" applyAlignment="1">
      <alignment horizontal="center" vertical="center" wrapText="1"/>
    </xf>
    <xf numFmtId="0" fontId="0" fillId="41" borderId="218"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41" borderId="197" xfId="0" applyFill="1" applyBorder="1" applyAlignment="1" applyProtection="1">
      <alignment vertical="center" wrapText="1"/>
      <protection locked="0"/>
    </xf>
    <xf numFmtId="0" fontId="62" fillId="41" borderId="197" xfId="0" applyFont="1" applyFill="1" applyBorder="1" applyAlignment="1" applyProtection="1">
      <alignment vertical="center" wrapText="1"/>
      <protection locked="0"/>
    </xf>
    <xf numFmtId="0" fontId="0" fillId="39" borderId="197" xfId="0" applyFill="1" applyBorder="1" applyAlignment="1" applyProtection="1">
      <alignment vertical="center" wrapText="1"/>
      <protection locked="0"/>
    </xf>
    <xf numFmtId="0" fontId="62" fillId="39" borderId="197" xfId="0" applyFont="1" applyFill="1" applyBorder="1" applyAlignment="1" applyProtection="1">
      <alignment vertical="center" wrapText="1"/>
      <protection locked="0"/>
    </xf>
    <xf numFmtId="0" fontId="62" fillId="41" borderId="236" xfId="0" applyFont="1" applyFill="1" applyBorder="1" applyAlignment="1" applyProtection="1">
      <alignment vertical="center" wrapText="1"/>
      <protection locked="0"/>
    </xf>
    <xf numFmtId="0" fontId="62" fillId="41" borderId="0" xfId="0" applyFont="1" applyFill="1" applyAlignment="1" applyProtection="1">
      <alignment vertical="center" wrapText="1"/>
      <protection locked="0"/>
    </xf>
    <xf numFmtId="0" fontId="0" fillId="40" borderId="197"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20" borderId="207" xfId="0" applyFill="1" applyBorder="1" applyAlignment="1" applyProtection="1">
      <alignment horizontal="center" vertical="center" wrapText="1"/>
      <protection locked="0"/>
    </xf>
    <xf numFmtId="0" fontId="0" fillId="20" borderId="133" xfId="0" applyFill="1" applyBorder="1" applyAlignment="1" applyProtection="1">
      <alignment horizontal="left" vertical="center" wrapText="1"/>
      <protection locked="0"/>
    </xf>
    <xf numFmtId="0" fontId="0" fillId="20" borderId="13" xfId="0" applyFill="1" applyBorder="1" applyAlignment="1" applyProtection="1">
      <alignment horizontal="center" vertical="center" wrapText="1"/>
      <protection locked="0"/>
    </xf>
    <xf numFmtId="0" fontId="0" fillId="20" borderId="198" xfId="0" applyFill="1" applyBorder="1" applyAlignment="1" applyProtection="1">
      <alignment horizontal="center" vertical="center" wrapText="1"/>
      <protection locked="0"/>
    </xf>
    <xf numFmtId="0" fontId="62" fillId="20" borderId="198" xfId="0" applyFont="1" applyFill="1" applyBorder="1" applyAlignment="1" applyProtection="1">
      <alignment horizontal="center" vertical="center" wrapText="1"/>
      <protection locked="0"/>
    </xf>
    <xf numFmtId="0" fontId="99" fillId="0" borderId="0" xfId="9" applyFont="1">
      <alignment vertical="center"/>
    </xf>
    <xf numFmtId="0" fontId="99" fillId="43" borderId="0" xfId="9" applyFont="1" applyFill="1">
      <alignment vertical="center"/>
    </xf>
    <xf numFmtId="0" fontId="99" fillId="50" borderId="0" xfId="9" applyFont="1" applyFill="1">
      <alignment vertical="center"/>
    </xf>
    <xf numFmtId="184" fontId="99" fillId="0" borderId="0" xfId="9" applyNumberFormat="1" applyFont="1">
      <alignment vertical="center"/>
    </xf>
    <xf numFmtId="176" fontId="106" fillId="0" borderId="1" xfId="9" applyNumberFormat="1" applyFont="1" applyBorder="1" applyAlignment="1" applyProtection="1">
      <alignment horizontal="left" vertical="center"/>
      <protection locked="0"/>
    </xf>
    <xf numFmtId="176" fontId="107" fillId="0" borderId="1" xfId="9" applyNumberFormat="1" applyFont="1" applyBorder="1" applyAlignment="1" applyProtection="1">
      <alignment horizontal="center" vertical="center"/>
      <protection locked="0"/>
    </xf>
    <xf numFmtId="186" fontId="107" fillId="0" borderId="1" xfId="9" applyNumberFormat="1" applyFont="1" applyBorder="1" applyAlignment="1">
      <alignment horizontal="center" vertical="center"/>
    </xf>
    <xf numFmtId="183" fontId="107" fillId="0" borderId="1" xfId="9" applyNumberFormat="1" applyFont="1" applyBorder="1" applyAlignment="1" applyProtection="1">
      <alignment horizontal="center" vertical="center"/>
      <protection locked="0"/>
    </xf>
    <xf numFmtId="0" fontId="107" fillId="0" borderId="1" xfId="9" applyFont="1" applyBorder="1" applyAlignment="1" applyProtection="1">
      <alignment horizontal="center" vertical="center"/>
      <protection locked="0"/>
    </xf>
    <xf numFmtId="184" fontId="107" fillId="0" borderId="1" xfId="9" applyNumberFormat="1" applyFont="1" applyBorder="1" applyAlignment="1" applyProtection="1">
      <alignment horizontal="center" vertical="center"/>
      <protection locked="0"/>
    </xf>
    <xf numFmtId="186" fontId="107" fillId="0" borderId="1" xfId="9" applyNumberFormat="1" applyFont="1" applyBorder="1" applyAlignment="1">
      <alignment horizontal="center" vertical="center" wrapText="1" readingOrder="1"/>
    </xf>
    <xf numFmtId="183" fontId="107" fillId="0" borderId="1" xfId="4" applyNumberFormat="1" applyFont="1" applyBorder="1" applyAlignment="1" applyProtection="1">
      <alignment horizontal="center" vertical="center"/>
      <protection locked="0"/>
    </xf>
    <xf numFmtId="176" fontId="107" fillId="0" borderId="1" xfId="4" applyNumberFormat="1" applyFont="1" applyBorder="1" applyAlignment="1" applyProtection="1">
      <alignment horizontal="center" vertical="center"/>
      <protection locked="0"/>
    </xf>
    <xf numFmtId="184" fontId="107" fillId="0" borderId="1" xfId="4" applyNumberFormat="1" applyFont="1" applyBorder="1" applyAlignment="1" applyProtection="1">
      <alignment horizontal="center" vertical="center"/>
      <protection locked="0"/>
    </xf>
    <xf numFmtId="184" fontId="107" fillId="0" borderId="1" xfId="9" applyNumberFormat="1" applyFont="1" applyBorder="1" applyAlignment="1">
      <alignment horizontal="center" vertical="center"/>
    </xf>
    <xf numFmtId="176" fontId="107" fillId="0" borderId="1" xfId="9" applyNumberFormat="1" applyFont="1" applyBorder="1" applyAlignment="1" applyProtection="1">
      <alignment horizontal="center" vertical="center" wrapText="1"/>
      <protection locked="0"/>
    </xf>
    <xf numFmtId="176" fontId="106" fillId="0" borderId="1" xfId="9" applyNumberFormat="1" applyFont="1" applyBorder="1" applyAlignment="1" applyProtection="1">
      <alignment horizontal="left" vertical="center" wrapText="1"/>
      <protection locked="0"/>
    </xf>
    <xf numFmtId="184" fontId="107" fillId="0" borderId="1" xfId="9" applyNumberFormat="1" applyFont="1" applyBorder="1" applyAlignment="1">
      <alignment horizontal="center" vertical="center" wrapText="1"/>
    </xf>
    <xf numFmtId="183" fontId="107" fillId="0" borderId="1" xfId="9" applyNumberFormat="1" applyFont="1" applyBorder="1" applyAlignment="1" applyProtection="1">
      <alignment horizontal="center" vertical="center" wrapText="1"/>
      <protection locked="0"/>
    </xf>
    <xf numFmtId="184" fontId="107" fillId="0" borderId="1" xfId="9" applyNumberFormat="1" applyFont="1" applyBorder="1" applyAlignment="1" applyProtection="1">
      <alignment horizontal="center" vertical="center" wrapText="1"/>
      <protection locked="0"/>
    </xf>
    <xf numFmtId="184" fontId="107" fillId="0" borderId="1" xfId="9" applyNumberFormat="1" applyFont="1" applyBorder="1" applyAlignment="1">
      <alignment horizontal="center" vertical="center" wrapText="1" readingOrder="1"/>
    </xf>
    <xf numFmtId="183" fontId="107" fillId="0" borderId="274" xfId="9" applyNumberFormat="1" applyFont="1" applyBorder="1" applyAlignment="1" applyProtection="1">
      <alignment horizontal="center" vertical="center" wrapText="1"/>
      <protection locked="0"/>
    </xf>
    <xf numFmtId="176" fontId="107" fillId="0" borderId="274" xfId="9" applyNumberFormat="1" applyFont="1" applyBorder="1" applyAlignment="1" applyProtection="1">
      <alignment horizontal="center" vertical="center" wrapText="1"/>
      <protection locked="0"/>
    </xf>
    <xf numFmtId="183" fontId="107" fillId="0" borderId="1" xfId="4" applyNumberFormat="1" applyFont="1" applyBorder="1" applyAlignment="1" applyProtection="1">
      <alignment horizontal="center" vertical="center" wrapText="1"/>
      <protection locked="0"/>
    </xf>
    <xf numFmtId="176" fontId="107" fillId="0" borderId="1" xfId="4" applyNumberFormat="1" applyFont="1" applyBorder="1" applyAlignment="1" applyProtection="1">
      <alignment horizontal="center" vertical="center" wrapText="1"/>
      <protection locked="0"/>
    </xf>
    <xf numFmtId="184" fontId="107" fillId="0" borderId="1" xfId="4" applyNumberFormat="1" applyFont="1" applyBorder="1" applyAlignment="1" applyProtection="1">
      <alignment horizontal="center" vertical="center" wrapText="1"/>
      <protection locked="0"/>
    </xf>
    <xf numFmtId="0" fontId="107" fillId="0" borderId="1" xfId="9" applyFont="1" applyBorder="1" applyAlignment="1">
      <alignment horizontal="center" vertical="center"/>
    </xf>
    <xf numFmtId="38" fontId="107" fillId="0" borderId="1" xfId="31" applyFont="1" applyFill="1" applyBorder="1" applyAlignment="1" applyProtection="1">
      <alignment horizontal="center" vertical="center"/>
    </xf>
    <xf numFmtId="38" fontId="107" fillId="0" borderId="1" xfId="31" applyFont="1" applyFill="1" applyBorder="1" applyAlignment="1" applyProtection="1">
      <alignment horizontal="center" vertical="center" wrapText="1"/>
    </xf>
    <xf numFmtId="0" fontId="108" fillId="0" borderId="1" xfId="9" applyFont="1" applyBorder="1" applyAlignment="1">
      <alignment horizontal="center" vertical="center"/>
    </xf>
    <xf numFmtId="184" fontId="108" fillId="0" borderId="1" xfId="9" applyNumberFormat="1" applyFont="1" applyBorder="1" applyAlignment="1">
      <alignment horizontal="center" vertical="center"/>
    </xf>
    <xf numFmtId="183" fontId="107" fillId="0" borderId="274" xfId="9" applyNumberFormat="1" applyFont="1" applyBorder="1" applyAlignment="1" applyProtection="1">
      <alignment horizontal="center" vertical="center"/>
      <protection locked="0"/>
    </xf>
    <xf numFmtId="176" fontId="107" fillId="0" borderId="274" xfId="9" applyNumberFormat="1" applyFont="1" applyBorder="1" applyAlignment="1" applyProtection="1">
      <alignment horizontal="center" vertical="center"/>
      <protection locked="0"/>
    </xf>
    <xf numFmtId="176" fontId="106" fillId="0" borderId="1" xfId="32" applyNumberFormat="1" applyFont="1" applyBorder="1" applyAlignment="1" applyProtection="1">
      <alignment horizontal="left" vertical="center"/>
      <protection locked="0"/>
    </xf>
    <xf numFmtId="176" fontId="106" fillId="0" borderId="1" xfId="32" applyNumberFormat="1" applyFont="1" applyBorder="1" applyAlignment="1" applyProtection="1">
      <alignment horizontal="left" vertical="center" wrapText="1"/>
      <protection locked="0"/>
    </xf>
    <xf numFmtId="183" fontId="107" fillId="43" borderId="1" xfId="9" applyNumberFormat="1" applyFont="1" applyFill="1" applyBorder="1" applyAlignment="1" applyProtection="1">
      <alignment horizontal="center" vertical="center"/>
      <protection locked="0"/>
    </xf>
    <xf numFmtId="0" fontId="69" fillId="0" borderId="1" xfId="9" applyFont="1" applyBorder="1" applyAlignment="1">
      <alignment horizontal="center" vertical="center" wrapText="1" readingOrder="1"/>
    </xf>
    <xf numFmtId="0" fontId="97" fillId="0" borderId="1" xfId="9" applyFont="1" applyBorder="1" applyAlignment="1">
      <alignment horizontal="center" vertical="center" wrapText="1" readingOrder="1"/>
    </xf>
    <xf numFmtId="0" fontId="110" fillId="43" borderId="1" xfId="9" applyFont="1" applyFill="1" applyBorder="1">
      <alignment vertical="center"/>
    </xf>
    <xf numFmtId="0" fontId="0" fillId="36" borderId="1" xfId="0" applyFill="1" applyBorder="1" applyAlignment="1" applyProtection="1">
      <alignment horizontal="center" vertical="center"/>
      <protection locked="0"/>
    </xf>
    <xf numFmtId="0" fontId="46" fillId="38" borderId="123" xfId="23" applyFont="1" applyFill="1" applyBorder="1">
      <alignment vertical="center"/>
    </xf>
    <xf numFmtId="0" fontId="46" fillId="38" borderId="149" xfId="23" applyFont="1" applyFill="1" applyBorder="1">
      <alignment vertical="center"/>
    </xf>
    <xf numFmtId="49" fontId="69" fillId="0" borderId="31" xfId="0" applyNumberFormat="1" applyFont="1" applyBorder="1">
      <alignment vertical="center"/>
    </xf>
    <xf numFmtId="49" fontId="69" fillId="0" borderId="5" xfId="0" applyNumberFormat="1" applyFont="1" applyBorder="1">
      <alignment vertical="center"/>
    </xf>
    <xf numFmtId="0" fontId="77" fillId="0" borderId="0" xfId="0" applyFont="1">
      <alignment vertical="center"/>
    </xf>
    <xf numFmtId="0" fontId="77" fillId="0" borderId="0" xfId="0" applyFont="1" applyAlignment="1">
      <alignment horizontal="center" vertical="center"/>
    </xf>
    <xf numFmtId="0" fontId="14" fillId="15" borderId="1" xfId="0" applyFont="1" applyFill="1" applyBorder="1" applyAlignment="1" applyProtection="1">
      <alignment horizontal="center" vertical="center"/>
      <protection locked="0"/>
    </xf>
    <xf numFmtId="0" fontId="58" fillId="16" borderId="1" xfId="0" applyFont="1" applyFill="1" applyBorder="1" applyProtection="1">
      <alignment vertical="center"/>
      <protection locked="0"/>
    </xf>
    <xf numFmtId="0" fontId="11" fillId="51" borderId="275" xfId="0" applyFont="1" applyFill="1" applyBorder="1" applyAlignment="1" applyProtection="1">
      <alignment horizontal="center" vertical="center"/>
      <protection locked="0"/>
    </xf>
    <xf numFmtId="0" fontId="41" fillId="0" borderId="0" xfId="0" applyFont="1">
      <alignment vertical="center"/>
    </xf>
    <xf numFmtId="0" fontId="74" fillId="0" borderId="0" xfId="0" applyFont="1" applyAlignment="1">
      <alignment horizontal="right" vertical="center"/>
    </xf>
    <xf numFmtId="0" fontId="97" fillId="49" borderId="266" xfId="9" applyFont="1" applyFill="1" applyBorder="1" applyAlignment="1">
      <alignment horizontal="center" vertical="center" wrapText="1" readingOrder="1"/>
    </xf>
    <xf numFmtId="0" fontId="97" fillId="49" borderId="267" xfId="9" applyFont="1" applyFill="1" applyBorder="1" applyAlignment="1">
      <alignment horizontal="center" vertical="center" wrapText="1" readingOrder="1"/>
    </xf>
    <xf numFmtId="0" fontId="97" fillId="49" borderId="244" xfId="9" applyFont="1" applyFill="1" applyBorder="1" applyAlignment="1">
      <alignment horizontal="center" vertical="center" wrapText="1" readingOrder="1"/>
    </xf>
    <xf numFmtId="0" fontId="97" fillId="49" borderId="269" xfId="9" applyFont="1" applyFill="1" applyBorder="1" applyAlignment="1">
      <alignment horizontal="center" vertical="center" wrapText="1" readingOrder="1"/>
    </xf>
    <xf numFmtId="0" fontId="97" fillId="49" borderId="0" xfId="9" applyFont="1" applyFill="1" applyAlignment="1">
      <alignment horizontal="center" vertical="center" wrapText="1" readingOrder="1"/>
    </xf>
    <xf numFmtId="0" fontId="69" fillId="49" borderId="258" xfId="9" applyFont="1" applyFill="1" applyBorder="1" applyAlignment="1">
      <alignment horizontal="center" vertical="center" wrapText="1" readingOrder="1"/>
    </xf>
    <xf numFmtId="0" fontId="69" fillId="49" borderId="257" xfId="9" applyFont="1" applyFill="1" applyBorder="1" applyAlignment="1">
      <alignment horizontal="center" vertical="center" wrapText="1" readingOrder="1"/>
    </xf>
    <xf numFmtId="0" fontId="69" fillId="49" borderId="270" xfId="9" applyFont="1" applyFill="1" applyBorder="1" applyAlignment="1">
      <alignment horizontal="center" vertical="center" wrapText="1" readingOrder="1"/>
    </xf>
    <xf numFmtId="0" fontId="69" fillId="48" borderId="245" xfId="9" applyFont="1" applyFill="1" applyBorder="1" applyAlignment="1">
      <alignment horizontal="center" vertical="center" wrapText="1"/>
    </xf>
    <xf numFmtId="0" fontId="69" fillId="49" borderId="255" xfId="9" applyFont="1" applyFill="1" applyBorder="1" applyAlignment="1">
      <alignment horizontal="center" vertical="center" wrapText="1" readingOrder="1"/>
    </xf>
    <xf numFmtId="0" fontId="97" fillId="49" borderId="276" xfId="9" applyFont="1" applyFill="1" applyBorder="1" applyAlignment="1">
      <alignment horizontal="center" vertical="center" wrapText="1" readingOrder="1"/>
    </xf>
    <xf numFmtId="0" fontId="97" fillId="49" borderId="230" xfId="9" applyFont="1" applyFill="1" applyBorder="1" applyAlignment="1">
      <alignment horizontal="center" vertical="center" wrapText="1" readingOrder="1"/>
    </xf>
    <xf numFmtId="0" fontId="35" fillId="0" borderId="123" xfId="9" applyFont="1" applyBorder="1" applyAlignment="1">
      <alignment horizontal="left" vertical="center"/>
    </xf>
    <xf numFmtId="183" fontId="32" fillId="0" borderId="123" xfId="9" applyNumberFormat="1" applyBorder="1">
      <alignment vertical="center"/>
    </xf>
    <xf numFmtId="181" fontId="32" fillId="0" borderId="123" xfId="9" applyNumberFormat="1" applyBorder="1">
      <alignment vertical="center"/>
    </xf>
    <xf numFmtId="183" fontId="32" fillId="43" borderId="123" xfId="9" applyNumberFormat="1" applyFill="1" applyBorder="1" applyProtection="1">
      <alignment vertical="center"/>
      <protection locked="0"/>
    </xf>
    <xf numFmtId="183" fontId="99" fillId="0" borderId="123" xfId="9" applyNumberFormat="1" applyFont="1" applyBorder="1">
      <alignment vertical="center"/>
    </xf>
    <xf numFmtId="0" fontId="14" fillId="20" borderId="1" xfId="0" applyFont="1" applyFill="1" applyBorder="1" applyAlignment="1" applyProtection="1">
      <alignment horizontal="center" vertical="center" wrapText="1"/>
      <protection locked="0"/>
    </xf>
    <xf numFmtId="14" fontId="15" fillId="5" borderId="1" xfId="0" applyNumberFormat="1" applyFont="1" applyFill="1" applyBorder="1" applyAlignment="1" applyProtection="1">
      <alignment horizontal="center" vertical="center" wrapText="1"/>
      <protection locked="0"/>
    </xf>
    <xf numFmtId="14" fontId="0" fillId="14" borderId="123" xfId="0" applyNumberFormat="1" applyFill="1" applyBorder="1" applyAlignment="1" applyProtection="1">
      <alignment horizontal="center" vertical="center"/>
      <protection locked="0"/>
    </xf>
    <xf numFmtId="0" fontId="0" fillId="43" borderId="124" xfId="0" applyFill="1" applyBorder="1" applyAlignment="1">
      <alignment horizontal="center" vertical="center" wrapText="1"/>
    </xf>
    <xf numFmtId="0" fontId="0" fillId="43" borderId="125" xfId="0" applyFill="1" applyBorder="1" applyAlignment="1">
      <alignment horizontal="center" vertical="center" wrapText="1"/>
    </xf>
    <xf numFmtId="0" fontId="0" fillId="43" borderId="120" xfId="0" applyFill="1" applyBorder="1" applyAlignment="1">
      <alignment horizontal="center" vertical="center" wrapText="1"/>
    </xf>
    <xf numFmtId="0" fontId="32" fillId="0" borderId="0" xfId="9" applyAlignment="1">
      <alignment vertical="center" wrapText="1"/>
    </xf>
    <xf numFmtId="0" fontId="43" fillId="19" borderId="196" xfId="9" applyFont="1" applyFill="1" applyBorder="1" applyAlignment="1">
      <alignment horizontal="center" vertical="center" wrapText="1"/>
    </xf>
    <xf numFmtId="0" fontId="43" fillId="19" borderId="207" xfId="9" applyFont="1" applyFill="1" applyBorder="1" applyAlignment="1">
      <alignment horizontal="center" vertical="center"/>
    </xf>
    <xf numFmtId="0" fontId="43" fillId="19" borderId="197" xfId="9" applyFont="1" applyFill="1" applyBorder="1" applyAlignment="1">
      <alignment horizontal="center" vertical="center"/>
    </xf>
    <xf numFmtId="0" fontId="44" fillId="0" borderId="82" xfId="9" applyFont="1" applyBorder="1" applyAlignment="1">
      <alignment horizontal="left" vertical="center" wrapText="1"/>
    </xf>
    <xf numFmtId="0" fontId="46" fillId="0" borderId="0" xfId="9" applyFont="1" applyAlignment="1">
      <alignment horizontal="left" vertical="center" wrapText="1" indent="1"/>
    </xf>
    <xf numFmtId="0" fontId="0" fillId="0" borderId="0" xfId="9" applyFont="1" applyAlignment="1">
      <alignment horizontal="left" vertical="center" wrapText="1" indent="1"/>
    </xf>
    <xf numFmtId="0" fontId="8" fillId="0" borderId="0" xfId="9" applyFont="1" applyAlignment="1">
      <alignment horizontal="left" vertical="center" wrapText="1" indent="1"/>
    </xf>
    <xf numFmtId="0" fontId="0" fillId="0" borderId="75" xfId="9" applyFont="1" applyBorder="1" applyAlignment="1">
      <alignment horizontal="left" vertical="center" wrapText="1" indent="1"/>
    </xf>
    <xf numFmtId="0" fontId="8" fillId="0" borderId="87" xfId="9" applyFont="1" applyBorder="1" applyAlignment="1">
      <alignment horizontal="left" vertical="center" wrapText="1" indent="1"/>
    </xf>
    <xf numFmtId="0" fontId="8" fillId="0" borderId="76" xfId="9" applyFont="1" applyBorder="1" applyAlignment="1">
      <alignment horizontal="left" vertical="center" wrapText="1" indent="1"/>
    </xf>
    <xf numFmtId="0" fontId="46" fillId="0" borderId="0" xfId="9" applyFont="1" applyAlignment="1">
      <alignment horizontal="left" vertical="center" wrapText="1"/>
    </xf>
    <xf numFmtId="0" fontId="32" fillId="0" borderId="0" xfId="9" applyAlignment="1">
      <alignment horizontal="left" vertical="center" wrapText="1" indent="1"/>
    </xf>
    <xf numFmtId="0" fontId="32" fillId="0" borderId="0" xfId="9" applyAlignment="1">
      <alignment horizontal="left" vertical="center" wrapText="1"/>
    </xf>
    <xf numFmtId="0" fontId="50" fillId="0" borderId="75" xfId="9" applyFont="1" applyBorder="1" applyAlignment="1">
      <alignment horizontal="left" vertical="center" wrapText="1" indent="1"/>
    </xf>
    <xf numFmtId="0" fontId="50" fillId="0" borderId="87" xfId="9" applyFont="1" applyBorder="1" applyAlignment="1">
      <alignment horizontal="left" vertical="center" wrapText="1" indent="1"/>
    </xf>
    <xf numFmtId="0" fontId="50" fillId="0" borderId="76" xfId="9" applyFont="1" applyBorder="1" applyAlignment="1">
      <alignment horizontal="left" vertical="center" wrapText="1" indent="1"/>
    </xf>
    <xf numFmtId="0" fontId="11" fillId="8" borderId="75" xfId="0" applyFont="1" applyFill="1" applyBorder="1" applyAlignment="1" applyProtection="1">
      <alignment horizontal="left" vertical="center"/>
      <protection locked="0"/>
    </xf>
    <xf numFmtId="0" fontId="11" fillId="8" borderId="76" xfId="0" applyFont="1" applyFill="1" applyBorder="1" applyAlignment="1" applyProtection="1">
      <alignment horizontal="left" vertical="center"/>
      <protection locked="0"/>
    </xf>
    <xf numFmtId="0" fontId="26" fillId="0" borderId="5" xfId="0" applyFont="1" applyBorder="1" applyAlignment="1">
      <alignment horizontal="left" vertical="center" wrapText="1"/>
    </xf>
    <xf numFmtId="179" fontId="11" fillId="0" borderId="124" xfId="0" applyNumberFormat="1" applyFont="1" applyBorder="1" applyAlignment="1" applyProtection="1">
      <alignment horizontal="center" vertical="center" shrinkToFit="1"/>
      <protection hidden="1"/>
    </xf>
    <xf numFmtId="179" fontId="11" fillId="0" borderId="120" xfId="0" applyNumberFormat="1" applyFont="1" applyBorder="1" applyAlignment="1" applyProtection="1">
      <alignment horizontal="center" vertical="center" shrinkToFit="1"/>
      <protection hidden="1"/>
    </xf>
    <xf numFmtId="0" fontId="17" fillId="22" borderId="11" xfId="0" applyFont="1" applyFill="1" applyBorder="1" applyAlignment="1">
      <alignment horizontal="center" vertical="center" textRotation="255" wrapText="1"/>
    </xf>
    <xf numFmtId="0" fontId="17" fillId="22" borderId="0" xfId="0" applyFont="1" applyFill="1" applyAlignment="1">
      <alignment horizontal="center" vertical="center" textRotation="255" wrapText="1"/>
    </xf>
    <xf numFmtId="0" fontId="73" fillId="0" borderId="175" xfId="0" applyFont="1" applyBorder="1" applyAlignment="1">
      <alignment horizontal="center" vertical="center" shrinkToFit="1"/>
    </xf>
    <xf numFmtId="0" fontId="73" fillId="0" borderId="5" xfId="0" applyFont="1" applyBorder="1" applyAlignment="1">
      <alignment horizontal="center" vertical="center" shrinkToFit="1"/>
    </xf>
    <xf numFmtId="0" fontId="10" fillId="0" borderId="19" xfId="0" applyFont="1" applyBorder="1" applyAlignment="1">
      <alignment horizontal="left" vertical="top" wrapText="1"/>
    </xf>
    <xf numFmtId="0" fontId="10" fillId="0" borderId="5" xfId="0" applyFont="1" applyBorder="1" applyAlignment="1">
      <alignment horizontal="left" vertical="top" wrapText="1"/>
    </xf>
    <xf numFmtId="0" fontId="10" fillId="0" borderId="30" xfId="0" applyFont="1" applyBorder="1" applyAlignment="1">
      <alignment horizontal="left" vertical="top" wrapText="1"/>
    </xf>
    <xf numFmtId="0" fontId="13" fillId="0" borderId="77" xfId="0" applyFont="1" applyBorder="1" applyAlignment="1">
      <alignment horizontal="center" vertical="center" wrapText="1"/>
    </xf>
    <xf numFmtId="179" fontId="64" fillId="0" borderId="0" xfId="0" applyNumberFormat="1" applyFont="1" applyAlignment="1">
      <alignment horizontal="left" wrapText="1"/>
    </xf>
    <xf numFmtId="0" fontId="11" fillId="8" borderId="28" xfId="0" applyFont="1" applyFill="1" applyBorder="1" applyAlignment="1" applyProtection="1">
      <alignment horizontal="left" vertical="center"/>
      <protection locked="0"/>
    </xf>
    <xf numFmtId="0" fontId="11" fillId="8" borderId="13" xfId="0" applyFont="1" applyFill="1" applyBorder="1" applyAlignment="1" applyProtection="1">
      <alignment horizontal="left" vertical="center"/>
      <protection locked="0"/>
    </xf>
    <xf numFmtId="0" fontId="11" fillId="8" borderId="58" xfId="0" applyFont="1" applyFill="1" applyBorder="1" applyAlignment="1" applyProtection="1">
      <alignment horizontal="left" vertical="center"/>
      <protection locked="0"/>
    </xf>
    <xf numFmtId="49" fontId="11"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92" fillId="11" borderId="28" xfId="2" applyNumberFormat="1" applyFont="1" applyFill="1" applyBorder="1" applyAlignment="1" applyProtection="1">
      <alignment horizontal="left" vertical="center"/>
      <protection locked="0"/>
    </xf>
    <xf numFmtId="49" fontId="11" fillId="11" borderId="13" xfId="0" applyNumberFormat="1" applyFont="1" applyFill="1" applyBorder="1" applyAlignment="1" applyProtection="1">
      <alignment horizontal="left" vertical="center"/>
      <protection locked="0"/>
    </xf>
    <xf numFmtId="49" fontId="11" fillId="11" borderId="58" xfId="0" applyNumberFormat="1" applyFont="1" applyFill="1" applyBorder="1" applyAlignment="1" applyProtection="1">
      <alignment horizontal="left" vertical="center"/>
      <protection locked="0"/>
    </xf>
    <xf numFmtId="0" fontId="101" fillId="0" borderId="0" xfId="0" applyFont="1" applyAlignment="1">
      <alignment horizontal="center" vertical="center"/>
    </xf>
    <xf numFmtId="179" fontId="11" fillId="0" borderId="124" xfId="0" applyNumberFormat="1" applyFont="1" applyBorder="1" applyAlignment="1">
      <alignment horizontal="left" vertical="center"/>
    </xf>
    <xf numFmtId="179" fontId="0" fillId="0" borderId="125" xfId="0" applyNumberFormat="1" applyBorder="1" applyAlignment="1">
      <alignment horizontal="left" vertical="center"/>
    </xf>
    <xf numFmtId="179" fontId="0" fillId="0" borderId="120" xfId="0" applyNumberFormat="1" applyBorder="1" applyAlignment="1">
      <alignment horizontal="left" vertical="center"/>
    </xf>
    <xf numFmtId="0" fontId="11"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0" fontId="68" fillId="0" borderId="0" xfId="0" applyFont="1" applyAlignment="1">
      <alignment horizontal="center" vertical="center"/>
    </xf>
    <xf numFmtId="0" fontId="11" fillId="8" borderId="28" xfId="0" applyFont="1" applyFill="1" applyBorder="1" applyProtection="1">
      <alignment vertical="center"/>
      <protection locked="0"/>
    </xf>
    <xf numFmtId="0" fontId="11" fillId="8" borderId="13" xfId="0" applyFont="1" applyFill="1" applyBorder="1" applyProtection="1">
      <alignment vertical="center"/>
      <protection locked="0"/>
    </xf>
    <xf numFmtId="0" fontId="11" fillId="8" borderId="58" xfId="0" applyFont="1" applyFill="1" applyBorder="1" applyProtection="1">
      <alignment vertical="center"/>
      <protection locked="0"/>
    </xf>
    <xf numFmtId="177" fontId="11" fillId="11" borderId="28" xfId="0" applyNumberFormat="1" applyFont="1" applyFill="1" applyBorder="1" applyAlignment="1" applyProtection="1">
      <alignment horizontal="left" vertical="center"/>
      <protection locked="0"/>
    </xf>
    <xf numFmtId="177" fontId="11" fillId="11" borderId="13" xfId="0" applyNumberFormat="1" applyFont="1" applyFill="1" applyBorder="1" applyAlignment="1" applyProtection="1">
      <alignment horizontal="left" vertical="center"/>
      <protection locked="0"/>
    </xf>
    <xf numFmtId="177" fontId="11" fillId="11" borderId="58" xfId="0" applyNumberFormat="1" applyFont="1" applyFill="1" applyBorder="1" applyAlignment="1" applyProtection="1">
      <alignment horizontal="left" vertical="center"/>
      <protection locked="0"/>
    </xf>
    <xf numFmtId="0" fontId="10" fillId="0" borderId="5" xfId="0" applyFont="1" applyBorder="1" applyAlignment="1">
      <alignment horizontal="left" vertical="center" wrapText="1"/>
    </xf>
    <xf numFmtId="0" fontId="10" fillId="0" borderId="16" xfId="0" applyFont="1" applyBorder="1" applyAlignment="1">
      <alignment horizontal="left" vertical="center" wrapText="1"/>
    </xf>
    <xf numFmtId="0" fontId="11" fillId="11" borderId="28" xfId="0" applyFont="1" applyFill="1" applyBorder="1" applyAlignment="1" applyProtection="1">
      <alignment horizontal="center" vertical="center" wrapText="1"/>
      <protection locked="0"/>
    </xf>
    <xf numFmtId="0" fontId="11" fillId="11" borderId="13" xfId="0" applyFont="1" applyFill="1" applyBorder="1" applyAlignment="1" applyProtection="1">
      <alignment horizontal="center" vertical="center" wrapText="1"/>
      <protection locked="0"/>
    </xf>
    <xf numFmtId="0" fontId="11" fillId="11" borderId="58" xfId="0" applyFont="1" applyFill="1" applyBorder="1" applyAlignment="1" applyProtection="1">
      <alignment horizontal="center" vertical="center" wrapText="1"/>
      <protection locked="0"/>
    </xf>
    <xf numFmtId="0" fontId="10" fillId="0" borderId="53" xfId="0" applyFont="1" applyBorder="1" applyAlignment="1">
      <alignment horizontal="left" vertical="center" wrapText="1"/>
    </xf>
    <xf numFmtId="0" fontId="10" fillId="0" borderId="0" xfId="0" applyFont="1" applyAlignment="1">
      <alignment horizontal="left" vertical="center" wrapText="1"/>
    </xf>
    <xf numFmtId="0" fontId="10" fillId="0" borderId="19" xfId="0" applyFont="1" applyBorder="1" applyAlignment="1">
      <alignment horizontal="left" vertical="center" wrapText="1"/>
    </xf>
    <xf numFmtId="0" fontId="10" fillId="0" borderId="30" xfId="0" applyFont="1" applyBorder="1" applyAlignment="1">
      <alignment horizontal="left" vertical="center" wrapText="1"/>
    </xf>
    <xf numFmtId="0" fontId="10" fillId="20" borderId="10" xfId="0" applyFont="1" applyFill="1" applyBorder="1" applyAlignment="1">
      <alignment vertical="center" wrapText="1"/>
    </xf>
    <xf numFmtId="0" fontId="0" fillId="20" borderId="10" xfId="0" applyFill="1" applyBorder="1" applyAlignment="1">
      <alignment vertical="center" wrapText="1"/>
    </xf>
    <xf numFmtId="0" fontId="69" fillId="0" borderId="0" xfId="0" applyFont="1" applyAlignment="1">
      <alignment horizontal="left" vertical="center" wrapText="1"/>
    </xf>
    <xf numFmtId="0" fontId="62" fillId="0" borderId="124" xfId="0" applyFont="1" applyBorder="1" applyAlignment="1">
      <alignment horizontal="left" vertical="center" wrapText="1"/>
    </xf>
    <xf numFmtId="0" fontId="62" fillId="0" borderId="125" xfId="0" applyFont="1" applyBorder="1" applyAlignment="1">
      <alignment horizontal="left" vertical="center"/>
    </xf>
    <xf numFmtId="0" fontId="62" fillId="0" borderId="120" xfId="0" applyFont="1" applyBorder="1" applyAlignment="1">
      <alignment horizontal="left" vertical="center"/>
    </xf>
    <xf numFmtId="0" fontId="0" fillId="20" borderId="2" xfId="0" applyFill="1" applyBorder="1" applyAlignment="1">
      <alignment horizontal="center" vertical="center"/>
    </xf>
    <xf numFmtId="0" fontId="0" fillId="20" borderId="93" xfId="0" applyFill="1" applyBorder="1" applyAlignment="1">
      <alignment horizontal="center" vertical="center"/>
    </xf>
    <xf numFmtId="0" fontId="0" fillId="20" borderId="3" xfId="0" applyFill="1" applyBorder="1" applyAlignment="1">
      <alignment horizontal="center" vertical="center"/>
    </xf>
    <xf numFmtId="0" fontId="0" fillId="20" borderId="2" xfId="0" applyFill="1" applyBorder="1" applyAlignment="1">
      <alignment horizontal="center" vertical="center" wrapText="1"/>
    </xf>
    <xf numFmtId="0" fontId="0" fillId="20" borderId="93" xfId="0" applyFill="1" applyBorder="1" applyAlignment="1">
      <alignment horizontal="center" vertical="center" wrapText="1"/>
    </xf>
    <xf numFmtId="0" fontId="0" fillId="20" borderId="3" xfId="0" applyFill="1" applyBorder="1" applyAlignment="1">
      <alignment horizontal="center" vertical="center" wrapText="1"/>
    </xf>
    <xf numFmtId="0" fontId="14" fillId="5" borderId="28" xfId="0" applyFont="1" applyFill="1" applyBorder="1" applyAlignment="1" applyProtection="1">
      <alignment horizontal="left" vertical="center" wrapText="1"/>
      <protection locked="0"/>
    </xf>
    <xf numFmtId="0" fontId="14" fillId="5" borderId="58" xfId="0" applyFont="1" applyFill="1" applyBorder="1" applyAlignment="1" applyProtection="1">
      <alignment horizontal="left" vertical="center" wrapText="1"/>
      <protection locked="0"/>
    </xf>
    <xf numFmtId="0" fontId="39" fillId="0" borderId="0" xfId="0" applyFont="1" applyAlignment="1">
      <alignment horizontal="left" vertical="top" wrapText="1"/>
    </xf>
    <xf numFmtId="0" fontId="14" fillId="0" borderId="28" xfId="0" applyFont="1" applyBorder="1" applyAlignment="1">
      <alignment horizontal="left" vertical="center" wrapText="1"/>
    </xf>
    <xf numFmtId="0" fontId="14" fillId="0" borderId="58" xfId="0" applyFont="1" applyBorder="1" applyAlignment="1">
      <alignment horizontal="left" vertical="center" wrapText="1"/>
    </xf>
    <xf numFmtId="0" fontId="62" fillId="0" borderId="0" xfId="0" applyFont="1" applyAlignment="1">
      <alignment horizontal="left" vertical="top" wrapText="1"/>
    </xf>
    <xf numFmtId="0" fontId="16" fillId="9" borderId="0" xfId="0" applyFont="1" applyFill="1" applyAlignment="1">
      <alignment horizontal="center" vertical="center" wrapText="1"/>
    </xf>
    <xf numFmtId="0" fontId="16" fillId="9" borderId="0" xfId="0" applyFont="1" applyFill="1" applyAlignment="1">
      <alignment horizontal="center" vertical="center"/>
    </xf>
    <xf numFmtId="0" fontId="52" fillId="0" borderId="0" xfId="0" applyFont="1" applyAlignment="1">
      <alignment horizontal="right" vertical="center" wrapText="1"/>
    </xf>
    <xf numFmtId="0" fontId="0" fillId="0" borderId="0" xfId="0" applyAlignment="1">
      <alignment horizontal="right" vertical="center" wrapText="1"/>
    </xf>
    <xf numFmtId="179" fontId="8" fillId="9" borderId="124" xfId="0" applyNumberFormat="1" applyFont="1" applyFill="1" applyBorder="1" applyAlignment="1">
      <alignment horizontal="left" vertical="center" shrinkToFit="1"/>
    </xf>
    <xf numFmtId="179" fontId="8" fillId="9" borderId="120" xfId="0" applyNumberFormat="1" applyFont="1" applyFill="1" applyBorder="1" applyAlignment="1">
      <alignment horizontal="left" vertical="center" shrinkToFit="1"/>
    </xf>
    <xf numFmtId="0" fontId="58" fillId="9" borderId="133" xfId="0" applyFont="1" applyFill="1" applyBorder="1" applyAlignment="1">
      <alignment horizontal="left" vertical="center" wrapText="1"/>
    </xf>
    <xf numFmtId="0" fontId="14" fillId="2" borderId="66" xfId="0" applyFont="1" applyFill="1" applyBorder="1" applyAlignment="1">
      <alignment horizontal="center" vertical="center"/>
    </xf>
    <xf numFmtId="0" fontId="14" fillId="2" borderId="67" xfId="0" applyFont="1" applyFill="1" applyBorder="1" applyAlignment="1">
      <alignment horizontal="center" vertical="center"/>
    </xf>
    <xf numFmtId="0" fontId="46" fillId="15" borderId="124" xfId="21" applyFont="1" applyFill="1" applyBorder="1" applyAlignment="1">
      <alignment horizontal="center" vertical="center"/>
    </xf>
    <xf numFmtId="0" fontId="46" fillId="15" borderId="125" xfId="21" applyFont="1" applyFill="1" applyBorder="1" applyAlignment="1">
      <alignment horizontal="center" vertical="center"/>
    </xf>
    <xf numFmtId="0" fontId="46" fillId="15" borderId="120" xfId="21" applyFont="1" applyFill="1" applyBorder="1" applyAlignment="1">
      <alignment horizontal="center" vertical="center"/>
    </xf>
    <xf numFmtId="0" fontId="46" fillId="15" borderId="198" xfId="21" applyFont="1" applyFill="1" applyBorder="1" applyAlignment="1">
      <alignment horizontal="center" vertical="center" wrapText="1"/>
    </xf>
    <xf numFmtId="0" fontId="46" fillId="15" borderId="212" xfId="21" applyFont="1" applyFill="1" applyBorder="1" applyAlignment="1">
      <alignment horizontal="center" vertical="center" wrapText="1"/>
    </xf>
    <xf numFmtId="0" fontId="46" fillId="15" borderId="43" xfId="21" applyFont="1" applyFill="1" applyBorder="1" applyAlignment="1">
      <alignment horizontal="center" vertical="center" wrapText="1"/>
    </xf>
    <xf numFmtId="0" fontId="46" fillId="15" borderId="123" xfId="21" applyFont="1" applyFill="1" applyBorder="1" applyAlignment="1">
      <alignment horizontal="center" vertical="center" wrapText="1"/>
    </xf>
    <xf numFmtId="0" fontId="46" fillId="15" borderId="123" xfId="21" applyFont="1" applyFill="1" applyBorder="1" applyAlignment="1">
      <alignment horizontal="center" vertical="center"/>
    </xf>
    <xf numFmtId="0" fontId="46" fillId="15" borderId="43" xfId="21" applyFont="1" applyFill="1" applyBorder="1" applyAlignment="1">
      <alignment horizontal="center" vertical="center"/>
    </xf>
    <xf numFmtId="0" fontId="46" fillId="15" borderId="198" xfId="21" applyFont="1" applyFill="1" applyBorder="1" applyAlignment="1">
      <alignment horizontal="center" vertical="center"/>
    </xf>
    <xf numFmtId="0" fontId="46" fillId="20" borderId="198" xfId="21" applyFont="1" applyFill="1" applyBorder="1" applyAlignment="1">
      <alignment horizontal="center" vertical="center"/>
    </xf>
    <xf numFmtId="0" fontId="46" fillId="20" borderId="43" xfId="21" applyFont="1" applyFill="1" applyBorder="1" applyAlignment="1">
      <alignment horizontal="center" vertical="center"/>
    </xf>
    <xf numFmtId="0" fontId="16" fillId="10" borderId="0" xfId="0" applyFont="1" applyFill="1" applyAlignment="1">
      <alignment horizontal="center" vertical="center"/>
    </xf>
    <xf numFmtId="0" fontId="0" fillId="0" borderId="65" xfId="0" applyBorder="1" applyAlignment="1">
      <alignment horizontal="right" vertical="center" wrapText="1"/>
    </xf>
    <xf numFmtId="179" fontId="0" fillId="10" borderId="124" xfId="0" applyNumberFormat="1" applyFill="1" applyBorder="1" applyAlignment="1">
      <alignment horizontal="left" vertical="center" shrinkToFit="1"/>
    </xf>
    <xf numFmtId="179" fontId="0" fillId="10" borderId="125" xfId="0" applyNumberFormat="1" applyFill="1" applyBorder="1" applyAlignment="1">
      <alignment horizontal="left" vertical="center" shrinkToFit="1"/>
    </xf>
    <xf numFmtId="179" fontId="0" fillId="10" borderId="120" xfId="0" applyNumberFormat="1" applyFill="1" applyBorder="1" applyAlignment="1">
      <alignment horizontal="left" vertical="center" shrinkToFit="1"/>
    </xf>
    <xf numFmtId="0" fontId="103" fillId="0" borderId="0" xfId="21" applyFont="1" applyAlignment="1">
      <alignment vertical="top" wrapText="1"/>
    </xf>
    <xf numFmtId="0" fontId="65" fillId="0" borderId="124" xfId="21" applyFont="1" applyBorder="1" applyAlignment="1">
      <alignment horizontal="center" vertical="center"/>
    </xf>
    <xf numFmtId="0" fontId="65" fillId="0" borderId="125" xfId="21" applyFont="1" applyBorder="1" applyAlignment="1">
      <alignment horizontal="center" vertical="center"/>
    </xf>
    <xf numFmtId="0" fontId="65" fillId="0" borderId="120" xfId="21" applyFont="1" applyBorder="1" applyAlignment="1">
      <alignment horizontal="center" vertical="center"/>
    </xf>
    <xf numFmtId="0" fontId="65" fillId="0" borderId="123" xfId="21" applyFont="1" applyBorder="1" applyAlignment="1">
      <alignment horizontal="center" vertical="center"/>
    </xf>
    <xf numFmtId="0" fontId="104" fillId="10" borderId="0" xfId="0" applyFont="1" applyFill="1" applyAlignment="1">
      <alignment horizontal="center" vertical="center"/>
    </xf>
    <xf numFmtId="179" fontId="39" fillId="0" borderId="0" xfId="0" applyNumberFormat="1" applyFont="1" applyAlignment="1">
      <alignment horizontal="left" vertical="top" wrapText="1"/>
    </xf>
    <xf numFmtId="0" fontId="58" fillId="2" borderId="196" xfId="0" applyFont="1" applyFill="1" applyBorder="1" applyAlignment="1">
      <alignment horizontal="left" vertical="center" wrapText="1"/>
    </xf>
    <xf numFmtId="0" fontId="58" fillId="2" borderId="128" xfId="0" applyFont="1" applyFill="1" applyBorder="1" applyAlignment="1">
      <alignment horizontal="left" vertical="center" wrapText="1"/>
    </xf>
    <xf numFmtId="0" fontId="14" fillId="14" borderId="28" xfId="0" applyFont="1" applyFill="1" applyBorder="1" applyAlignment="1" applyProtection="1">
      <alignment horizontal="center" vertical="center" wrapText="1"/>
      <protection locked="0"/>
    </xf>
    <xf numFmtId="0" fontId="14" fillId="14" borderId="13"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14" fillId="14" borderId="55" xfId="0" applyFont="1" applyFill="1" applyBorder="1" applyAlignment="1" applyProtection="1">
      <alignment horizontal="center" vertical="center" wrapText="1"/>
      <protection locked="0"/>
    </xf>
    <xf numFmtId="0" fontId="14" fillId="14" borderId="14" xfId="0" applyFont="1" applyFill="1" applyBorder="1" applyAlignment="1" applyProtection="1">
      <alignment horizontal="center" vertical="center" wrapText="1"/>
      <protection locked="0"/>
    </xf>
    <xf numFmtId="0" fontId="14" fillId="14" borderId="59" xfId="0" applyFont="1" applyFill="1" applyBorder="1" applyAlignment="1" applyProtection="1">
      <alignment horizontal="center" vertical="center" wrapText="1"/>
      <protection locked="0"/>
    </xf>
    <xf numFmtId="0" fontId="58" fillId="18" borderId="124" xfId="0" applyFont="1" applyFill="1" applyBorder="1" applyAlignment="1">
      <alignment horizontal="left" vertical="center" wrapText="1"/>
    </xf>
    <xf numFmtId="0" fontId="58" fillId="18" borderId="125" xfId="0" applyFont="1" applyFill="1" applyBorder="1" applyAlignment="1">
      <alignment horizontal="left" vertical="center" wrapText="1"/>
    </xf>
    <xf numFmtId="0" fontId="14" fillId="2" borderId="196" xfId="0" applyFont="1" applyFill="1" applyBorder="1" applyAlignment="1">
      <alignment horizontal="center" vertical="center" wrapText="1"/>
    </xf>
    <xf numFmtId="0" fontId="14" fillId="2" borderId="207" xfId="0" applyFont="1" applyFill="1" applyBorder="1" applyAlignment="1">
      <alignment horizontal="center" vertical="center"/>
    </xf>
    <xf numFmtId="0" fontId="14" fillId="2" borderId="197" xfId="0" applyFont="1" applyFill="1" applyBorder="1" applyAlignment="1">
      <alignment horizontal="center" vertical="center"/>
    </xf>
    <xf numFmtId="0" fontId="14" fillId="2" borderId="128" xfId="0" applyFont="1" applyFill="1" applyBorder="1" applyAlignment="1">
      <alignment horizontal="center" vertical="center"/>
    </xf>
    <xf numFmtId="0" fontId="14" fillId="2" borderId="0" xfId="0" applyFont="1" applyFill="1" applyAlignment="1">
      <alignment horizontal="center" vertical="center"/>
    </xf>
    <xf numFmtId="0" fontId="14" fillId="2" borderId="21" xfId="0" applyFont="1" applyFill="1" applyBorder="1" applyAlignment="1">
      <alignment horizontal="center" vertical="center"/>
    </xf>
    <xf numFmtId="0" fontId="58" fillId="10" borderId="182" xfId="0" applyFont="1" applyFill="1" applyBorder="1" applyAlignment="1">
      <alignment horizontal="center" vertical="center" wrapText="1"/>
    </xf>
    <xf numFmtId="0" fontId="14" fillId="5" borderId="68" xfId="0" applyFont="1" applyFill="1" applyBorder="1" applyAlignment="1" applyProtection="1">
      <alignment horizontal="left" vertical="top" wrapText="1"/>
      <protection locked="0"/>
    </xf>
    <xf numFmtId="0" fontId="14" fillId="5" borderId="71" xfId="0" applyFont="1" applyFill="1" applyBorder="1" applyAlignment="1" applyProtection="1">
      <alignment horizontal="left" vertical="top" wrapText="1"/>
      <protection locked="0"/>
    </xf>
    <xf numFmtId="0" fontId="14" fillId="5" borderId="60" xfId="0" applyFont="1" applyFill="1" applyBorder="1" applyAlignment="1" applyProtection="1">
      <alignment horizontal="left" vertical="top" wrapText="1"/>
      <protection locked="0"/>
    </xf>
    <xf numFmtId="0" fontId="14" fillId="5" borderId="52" xfId="0" applyFont="1" applyFill="1" applyBorder="1" applyAlignment="1" applyProtection="1">
      <alignment horizontal="left" vertical="top" wrapText="1"/>
      <protection locked="0"/>
    </xf>
    <xf numFmtId="0" fontId="14" fillId="5" borderId="0" xfId="0" applyFont="1" applyFill="1" applyAlignment="1" applyProtection="1">
      <alignment horizontal="left" vertical="top" wrapText="1"/>
      <protection locked="0"/>
    </xf>
    <xf numFmtId="0" fontId="14" fillId="5" borderId="61" xfId="0" applyFont="1" applyFill="1" applyBorder="1" applyAlignment="1" applyProtection="1">
      <alignment horizontal="left" vertical="top" wrapText="1"/>
      <protection locked="0"/>
    </xf>
    <xf numFmtId="0" fontId="14" fillId="5" borderId="55" xfId="0" applyFont="1" applyFill="1" applyBorder="1" applyAlignment="1" applyProtection="1">
      <alignment horizontal="left" vertical="top" wrapText="1"/>
      <protection locked="0"/>
    </xf>
    <xf numFmtId="0" fontId="14" fillId="5" borderId="14" xfId="0" applyFont="1" applyFill="1" applyBorder="1" applyAlignment="1" applyProtection="1">
      <alignment horizontal="left" vertical="top" wrapText="1"/>
      <protection locked="0"/>
    </xf>
    <xf numFmtId="0" fontId="14" fillId="5" borderId="59" xfId="0" applyFont="1" applyFill="1" applyBorder="1" applyAlignment="1" applyProtection="1">
      <alignment horizontal="left" vertical="top" wrapText="1"/>
      <protection locked="0"/>
    </xf>
    <xf numFmtId="0" fontId="58" fillId="9" borderId="0" xfId="0" applyFont="1" applyFill="1" applyAlignment="1">
      <alignment horizontal="left" vertical="center" wrapText="1"/>
    </xf>
    <xf numFmtId="0" fontId="7" fillId="0" borderId="0" xfId="0" applyFont="1" applyAlignment="1">
      <alignment horizontal="right" vertical="center" wrapText="1"/>
    </xf>
    <xf numFmtId="0" fontId="7" fillId="0" borderId="65" xfId="0" applyFont="1" applyBorder="1" applyAlignment="1">
      <alignment horizontal="right" vertical="center" wrapText="1"/>
    </xf>
    <xf numFmtId="179" fontId="0" fillId="9" borderId="123" xfId="0" applyNumberFormat="1" applyFill="1" applyBorder="1" applyAlignment="1">
      <alignment horizontal="left" vertical="center" shrinkToFit="1"/>
    </xf>
    <xf numFmtId="179" fontId="0" fillId="9" borderId="123" xfId="0" applyNumberFormat="1" applyFill="1" applyBorder="1" applyAlignment="1">
      <alignment vertical="center" shrinkToFit="1"/>
    </xf>
    <xf numFmtId="0" fontId="8" fillId="2" borderId="124" xfId="0" applyFont="1" applyFill="1" applyBorder="1" applyAlignment="1">
      <alignment horizontal="left" vertical="center" wrapText="1"/>
    </xf>
    <xf numFmtId="0" fontId="8" fillId="2" borderId="125" xfId="0" applyFont="1" applyFill="1" applyBorder="1" applyAlignment="1">
      <alignment horizontal="left" vertical="center" wrapText="1"/>
    </xf>
    <xf numFmtId="0" fontId="14" fillId="5" borderId="13" xfId="0" applyFont="1" applyFill="1" applyBorder="1" applyAlignment="1" applyProtection="1">
      <alignment horizontal="left" vertical="center" wrapText="1"/>
      <protection locked="0"/>
    </xf>
    <xf numFmtId="0" fontId="8" fillId="2" borderId="124" xfId="0" applyFont="1" applyFill="1" applyBorder="1" applyAlignment="1">
      <alignment horizontal="left" vertical="center"/>
    </xf>
    <xf numFmtId="0" fontId="8" fillId="2" borderId="125" xfId="0" applyFont="1" applyFill="1" applyBorder="1" applyAlignment="1">
      <alignment horizontal="left" vertical="center"/>
    </xf>
    <xf numFmtId="0" fontId="0" fillId="2" borderId="124" xfId="0" applyFill="1" applyBorder="1" applyAlignment="1">
      <alignment horizontal="left" vertical="center"/>
    </xf>
    <xf numFmtId="0" fontId="0" fillId="2" borderId="125" xfId="0" applyFill="1" applyBorder="1" applyAlignment="1">
      <alignment horizontal="left" vertical="center"/>
    </xf>
    <xf numFmtId="0" fontId="0" fillId="2" borderId="124" xfId="0" applyFill="1" applyBorder="1" applyAlignment="1">
      <alignment horizontal="left" vertical="center" wrapText="1"/>
    </xf>
    <xf numFmtId="0" fontId="0" fillId="2" borderId="125" xfId="0" applyFill="1" applyBorder="1" applyAlignment="1">
      <alignment horizontal="left" vertical="center" wrapText="1"/>
    </xf>
    <xf numFmtId="0" fontId="8" fillId="2" borderId="198" xfId="0" applyFont="1" applyFill="1" applyBorder="1" applyAlignment="1">
      <alignment horizontal="center" vertical="center"/>
    </xf>
    <xf numFmtId="0" fontId="8" fillId="2" borderId="43" xfId="0" applyFont="1" applyFill="1" applyBorder="1" applyAlignment="1">
      <alignment horizontal="center" vertical="center"/>
    </xf>
    <xf numFmtId="0" fontId="0" fillId="2" borderId="196" xfId="0" applyFill="1" applyBorder="1" applyAlignment="1">
      <alignment horizontal="left" vertical="center" wrapText="1"/>
    </xf>
    <xf numFmtId="0" fontId="8" fillId="2" borderId="207" xfId="0" applyFont="1" applyFill="1" applyBorder="1" applyAlignment="1">
      <alignment horizontal="left" vertical="center" wrapText="1"/>
    </xf>
    <xf numFmtId="0" fontId="8" fillId="2" borderId="89" xfId="0" applyFont="1" applyFill="1" applyBorder="1" applyAlignment="1">
      <alignment horizontal="left" vertical="center" wrapText="1"/>
    </xf>
    <xf numFmtId="0" fontId="8" fillId="2" borderId="133" xfId="0" applyFont="1" applyFill="1" applyBorder="1" applyAlignment="1">
      <alignment horizontal="left" vertical="center" wrapText="1"/>
    </xf>
    <xf numFmtId="0" fontId="14" fillId="5" borderId="208" xfId="0" applyFont="1" applyFill="1" applyBorder="1" applyAlignment="1" applyProtection="1">
      <alignment horizontal="left" vertical="center" wrapText="1"/>
      <protection locked="0"/>
    </xf>
    <xf numFmtId="0" fontId="14" fillId="5" borderId="209" xfId="0" applyFont="1" applyFill="1" applyBorder="1" applyAlignment="1" applyProtection="1">
      <alignment horizontal="left" vertical="center" wrapText="1"/>
      <protection locked="0"/>
    </xf>
    <xf numFmtId="0" fontId="14" fillId="5" borderId="210" xfId="0" applyFont="1" applyFill="1" applyBorder="1" applyAlignment="1" applyProtection="1">
      <alignment horizontal="left" vertical="center" wrapText="1"/>
      <protection locked="0"/>
    </xf>
    <xf numFmtId="0" fontId="8" fillId="2" borderId="198" xfId="0" applyFont="1" applyFill="1" applyBorder="1" applyAlignment="1">
      <alignment horizontal="center" vertical="center" wrapText="1"/>
    </xf>
    <xf numFmtId="0" fontId="0" fillId="0" borderId="212"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7" xfId="0" applyFill="1" applyBorder="1" applyAlignment="1">
      <alignment horizontal="left" vertical="center" wrapText="1"/>
    </xf>
    <xf numFmtId="0" fontId="8" fillId="2" borderId="8"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7" xfId="0" applyBorder="1" applyAlignment="1">
      <alignment horizontal="center" vertical="center" wrapText="1"/>
    </xf>
    <xf numFmtId="49" fontId="14" fillId="5" borderId="28" xfId="0" applyNumberFormat="1" applyFont="1" applyFill="1" applyBorder="1" applyAlignment="1" applyProtection="1">
      <alignment horizontal="left" vertical="center" wrapText="1"/>
      <protection locked="0"/>
    </xf>
    <xf numFmtId="49" fontId="14" fillId="5" borderId="13" xfId="0" applyNumberFormat="1" applyFont="1" applyFill="1" applyBorder="1" applyAlignment="1" applyProtection="1">
      <alignment horizontal="left" vertical="center" wrapText="1"/>
      <protection locked="0"/>
    </xf>
    <xf numFmtId="49" fontId="14" fillId="5" borderId="58" xfId="0" applyNumberFormat="1" applyFont="1" applyFill="1" applyBorder="1" applyAlignment="1" applyProtection="1">
      <alignment horizontal="left" vertical="center" wrapText="1"/>
      <protection locked="0"/>
    </xf>
    <xf numFmtId="0" fontId="14" fillId="2" borderId="28"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14" fillId="2" borderId="58" xfId="0" applyFont="1" applyFill="1" applyBorder="1" applyAlignment="1">
      <alignment horizontal="center" vertical="center" wrapText="1"/>
    </xf>
    <xf numFmtId="49" fontId="14" fillId="15" borderId="28" xfId="0" applyNumberFormat="1" applyFont="1" applyFill="1" applyBorder="1" applyAlignment="1" applyProtection="1">
      <alignment horizontal="center" vertical="center"/>
      <protection locked="0"/>
    </xf>
    <xf numFmtId="49" fontId="14" fillId="15" borderId="13" xfId="0" applyNumberFormat="1" applyFont="1" applyFill="1" applyBorder="1" applyAlignment="1" applyProtection="1">
      <alignment horizontal="center" vertical="center"/>
      <protection locked="0"/>
    </xf>
    <xf numFmtId="49" fontId="14" fillId="15" borderId="58" xfId="0" applyNumberFormat="1" applyFont="1" applyFill="1" applyBorder="1" applyAlignment="1" applyProtection="1">
      <alignment horizontal="center" vertical="center"/>
      <protection locked="0"/>
    </xf>
    <xf numFmtId="0" fontId="8" fillId="2" borderId="16" xfId="0" applyFont="1" applyFill="1" applyBorder="1" applyAlignment="1">
      <alignment horizontal="center" vertical="center" wrapText="1"/>
    </xf>
    <xf numFmtId="49" fontId="14" fillId="5" borderId="52" xfId="0" applyNumberFormat="1" applyFont="1" applyFill="1" applyBorder="1" applyAlignment="1" applyProtection="1">
      <alignment horizontal="left" vertical="center" wrapText="1"/>
      <protection locked="0"/>
    </xf>
    <xf numFmtId="49" fontId="14" fillId="5" borderId="0" xfId="0" applyNumberFormat="1" applyFont="1" applyFill="1" applyAlignment="1" applyProtection="1">
      <alignment horizontal="left" vertical="center" wrapText="1"/>
      <protection locked="0"/>
    </xf>
    <xf numFmtId="49" fontId="14" fillId="5" borderId="61" xfId="0" applyNumberFormat="1" applyFont="1" applyFill="1" applyBorder="1" applyAlignment="1" applyProtection="1">
      <alignment horizontal="left" vertical="center" wrapText="1"/>
      <protection locked="0"/>
    </xf>
    <xf numFmtId="0" fontId="14" fillId="2" borderId="0" xfId="0" applyFont="1" applyFill="1" applyAlignment="1">
      <alignment horizontal="center" vertical="center" wrapText="1"/>
    </xf>
    <xf numFmtId="0" fontId="15" fillId="2" borderId="32" xfId="0" applyFont="1" applyFill="1" applyBorder="1" applyAlignment="1">
      <alignment horizontal="center" vertical="center" wrapText="1"/>
    </xf>
    <xf numFmtId="0" fontId="15" fillId="2" borderId="33" xfId="0" applyFont="1" applyFill="1" applyBorder="1" applyAlignment="1">
      <alignment horizontal="center" vertical="center" wrapText="1"/>
    </xf>
    <xf numFmtId="0" fontId="15" fillId="2" borderId="117" xfId="0" applyFont="1" applyFill="1" applyBorder="1" applyAlignment="1">
      <alignment horizontal="center" vertical="center" wrapText="1"/>
    </xf>
    <xf numFmtId="0" fontId="14" fillId="18" borderId="198" xfId="0" applyFont="1" applyFill="1" applyBorder="1" applyAlignment="1">
      <alignment horizontal="center" vertical="center"/>
    </xf>
    <xf numFmtId="0" fontId="14" fillId="18" borderId="212" xfId="0" applyFont="1" applyFill="1" applyBorder="1" applyAlignment="1">
      <alignment horizontal="center" vertical="center"/>
    </xf>
    <xf numFmtId="0" fontId="14" fillId="18" borderId="43" xfId="0" applyFont="1" applyFill="1" applyBorder="1" applyAlignment="1">
      <alignment horizontal="center" vertical="center"/>
    </xf>
    <xf numFmtId="0" fontId="14" fillId="15" borderId="55" xfId="0" applyFont="1" applyFill="1" applyBorder="1" applyAlignment="1" applyProtection="1">
      <alignment horizontal="center" vertical="center"/>
      <protection locked="0"/>
    </xf>
    <xf numFmtId="0" fontId="14" fillId="15" borderId="14" xfId="0" applyFont="1" applyFill="1" applyBorder="1" applyAlignment="1" applyProtection="1">
      <alignment horizontal="center" vertical="center"/>
      <protection locked="0"/>
    </xf>
    <xf numFmtId="0" fontId="14" fillId="15" borderId="59" xfId="0" applyFont="1" applyFill="1" applyBorder="1" applyAlignment="1" applyProtection="1">
      <alignment horizontal="center" vertical="center"/>
      <protection locked="0"/>
    </xf>
    <xf numFmtId="179" fontId="0" fillId="9" borderId="124" xfId="0" applyNumberFormat="1" applyFill="1" applyBorder="1" applyAlignment="1">
      <alignment horizontal="left" vertical="center" shrinkToFit="1"/>
    </xf>
    <xf numFmtId="179" fontId="0" fillId="9" borderId="125" xfId="0" applyNumberFormat="1" applyFill="1" applyBorder="1" applyAlignment="1">
      <alignment horizontal="left" vertical="center" shrinkToFit="1"/>
    </xf>
    <xf numFmtId="179" fontId="0" fillId="9" borderId="120" xfId="0" applyNumberFormat="1" applyFill="1" applyBorder="1" applyAlignment="1">
      <alignment horizontal="left" vertical="center" shrinkToFit="1"/>
    </xf>
    <xf numFmtId="0" fontId="14" fillId="2" borderId="124" xfId="0" applyFont="1" applyFill="1" applyBorder="1" applyAlignment="1">
      <alignment horizontal="left" vertical="center"/>
    </xf>
    <xf numFmtId="0" fontId="14" fillId="2" borderId="125" xfId="0" applyFont="1" applyFill="1" applyBorder="1" applyAlignment="1">
      <alignment horizontal="left" vertical="center"/>
    </xf>
    <xf numFmtId="0" fontId="14" fillId="4" borderId="28" xfId="0" applyFont="1" applyFill="1" applyBorder="1" applyAlignment="1" applyProtection="1">
      <alignment horizontal="center" vertical="center"/>
      <protection locked="0"/>
    </xf>
    <xf numFmtId="0" fontId="14" fillId="4" borderId="13" xfId="0" applyFont="1" applyFill="1" applyBorder="1" applyAlignment="1" applyProtection="1">
      <alignment horizontal="center" vertical="center"/>
      <protection locked="0"/>
    </xf>
    <xf numFmtId="0" fontId="14" fillId="4" borderId="58" xfId="0" applyFont="1" applyFill="1" applyBorder="1" applyAlignment="1" applyProtection="1">
      <alignment horizontal="center" vertical="center"/>
      <protection locked="0"/>
    </xf>
    <xf numFmtId="0" fontId="14" fillId="4" borderId="28" xfId="0" applyFont="1" applyFill="1" applyBorder="1" applyAlignment="1" applyProtection="1">
      <alignment horizontal="center" vertical="center" shrinkToFit="1"/>
      <protection locked="0"/>
    </xf>
    <xf numFmtId="0" fontId="14" fillId="4" borderId="13" xfId="0" applyFont="1" applyFill="1" applyBorder="1" applyAlignment="1" applyProtection="1">
      <alignment horizontal="center" vertical="center" shrinkToFit="1"/>
      <protection locked="0"/>
    </xf>
    <xf numFmtId="0" fontId="14" fillId="4" borderId="58" xfId="0" applyFont="1" applyFill="1" applyBorder="1" applyAlignment="1" applyProtection="1">
      <alignment horizontal="center" vertical="center" shrinkToFit="1"/>
      <protection locked="0"/>
    </xf>
    <xf numFmtId="0" fontId="14" fillId="18" borderId="123" xfId="0" applyFont="1" applyFill="1" applyBorder="1" applyAlignment="1">
      <alignment horizontal="center" vertical="center"/>
    </xf>
    <xf numFmtId="0" fontId="14" fillId="18" borderId="123" xfId="0" applyFont="1" applyFill="1" applyBorder="1" applyAlignment="1">
      <alignment horizontal="left" vertical="center"/>
    </xf>
    <xf numFmtId="0" fontId="14" fillId="18" borderId="43" xfId="0" applyFont="1" applyFill="1" applyBorder="1" applyAlignment="1">
      <alignment horizontal="left" vertical="center"/>
    </xf>
    <xf numFmtId="0" fontId="14" fillId="18" borderId="124" xfId="0" applyFont="1" applyFill="1" applyBorder="1" applyAlignment="1">
      <alignment horizontal="left" vertical="center"/>
    </xf>
    <xf numFmtId="0" fontId="14" fillId="2" borderId="198" xfId="0" applyFont="1" applyFill="1" applyBorder="1" applyAlignment="1">
      <alignment horizontal="center" vertical="center"/>
    </xf>
    <xf numFmtId="0" fontId="14" fillId="2" borderId="43" xfId="0" applyFont="1" applyFill="1" applyBorder="1" applyAlignment="1">
      <alignment horizontal="center" vertical="center"/>
    </xf>
    <xf numFmtId="0" fontId="14" fillId="2" borderId="196" xfId="0" applyFont="1" applyFill="1" applyBorder="1" applyAlignment="1">
      <alignment horizontal="left" vertical="center" wrapText="1"/>
    </xf>
    <xf numFmtId="0" fontId="14" fillId="2" borderId="207" xfId="0" applyFont="1" applyFill="1" applyBorder="1" applyAlignment="1">
      <alignment horizontal="left" vertical="center" wrapText="1"/>
    </xf>
    <xf numFmtId="0" fontId="14" fillId="2" borderId="199" xfId="0" applyFont="1" applyFill="1" applyBorder="1" applyAlignment="1">
      <alignment horizontal="left" vertical="center" wrapText="1"/>
    </xf>
    <xf numFmtId="0" fontId="14" fillId="2" borderId="89" xfId="0" applyFont="1" applyFill="1" applyBorder="1" applyAlignment="1">
      <alignment horizontal="left" vertical="center" wrapText="1"/>
    </xf>
    <xf numFmtId="0" fontId="14" fillId="2" borderId="133" xfId="0" applyFont="1" applyFill="1" applyBorder="1" applyAlignment="1">
      <alignment horizontal="left" vertical="center" wrapText="1"/>
    </xf>
    <xf numFmtId="0" fontId="14" fillId="2" borderId="213" xfId="0" applyFont="1" applyFill="1" applyBorder="1" applyAlignment="1">
      <alignment horizontal="left" vertical="center" wrapText="1"/>
    </xf>
    <xf numFmtId="0" fontId="14" fillId="5" borderId="28" xfId="0" applyFont="1" applyFill="1" applyBorder="1" applyAlignment="1" applyProtection="1">
      <alignment horizontal="left" vertical="center" wrapText="1" shrinkToFit="1"/>
      <protection locked="0"/>
    </xf>
    <xf numFmtId="0" fontId="14" fillId="5" borderId="13" xfId="0" applyFont="1" applyFill="1" applyBorder="1" applyAlignment="1" applyProtection="1">
      <alignment horizontal="left" vertical="center" wrapText="1" shrinkToFit="1"/>
      <protection locked="0"/>
    </xf>
    <xf numFmtId="0" fontId="14" fillId="5" borderId="58" xfId="0" applyFont="1" applyFill="1" applyBorder="1" applyAlignment="1" applyProtection="1">
      <alignment horizontal="left" vertical="center" wrapText="1" shrinkToFit="1"/>
      <protection locked="0"/>
    </xf>
    <xf numFmtId="0" fontId="14" fillId="5" borderId="28" xfId="2" applyFont="1" applyFill="1" applyBorder="1" applyAlignment="1" applyProtection="1">
      <alignment horizontal="left" vertical="center" wrapText="1"/>
      <protection locked="0"/>
    </xf>
    <xf numFmtId="0" fontId="14" fillId="5" borderId="13" xfId="2" applyFont="1" applyFill="1" applyBorder="1" applyAlignment="1" applyProtection="1">
      <alignment horizontal="left" vertical="center" wrapText="1"/>
      <protection locked="0"/>
    </xf>
    <xf numFmtId="0" fontId="14" fillId="5" borderId="58" xfId="2" applyFont="1" applyFill="1" applyBorder="1" applyAlignment="1" applyProtection="1">
      <alignment horizontal="left" vertical="center" wrapText="1"/>
      <protection locked="0"/>
    </xf>
    <xf numFmtId="0" fontId="14" fillId="18" borderId="198" xfId="0" applyFont="1" applyFill="1" applyBorder="1" applyAlignment="1">
      <alignment horizontal="left" vertical="center"/>
    </xf>
    <xf numFmtId="0" fontId="14" fillId="18" borderId="196" xfId="0" applyFont="1" applyFill="1" applyBorder="1" applyAlignment="1">
      <alignment horizontal="left" vertical="center"/>
    </xf>
    <xf numFmtId="0" fontId="14" fillId="15" borderId="28" xfId="0" applyFont="1" applyFill="1" applyBorder="1" applyAlignment="1" applyProtection="1">
      <alignment horizontal="center" vertical="center"/>
      <protection locked="0"/>
    </xf>
    <xf numFmtId="0" fontId="14" fillId="15" borderId="58" xfId="0" applyFont="1" applyFill="1" applyBorder="1" applyAlignment="1" applyProtection="1">
      <alignment horizontal="center" vertical="center"/>
      <protection locked="0"/>
    </xf>
    <xf numFmtId="0" fontId="14" fillId="2" borderId="212" xfId="0" applyFont="1" applyFill="1" applyBorder="1" applyAlignment="1">
      <alignment horizontal="center" vertical="center"/>
    </xf>
    <xf numFmtId="0" fontId="77" fillId="2" borderId="196" xfId="0" applyFont="1" applyFill="1" applyBorder="1" applyAlignment="1">
      <alignment horizontal="left" vertical="center" wrapText="1"/>
    </xf>
    <xf numFmtId="0" fontId="14" fillId="2" borderId="197" xfId="0" applyFont="1" applyFill="1" applyBorder="1" applyAlignment="1">
      <alignment horizontal="left" vertical="center" wrapText="1"/>
    </xf>
    <xf numFmtId="0" fontId="14" fillId="2" borderId="128" xfId="0" applyFont="1" applyFill="1" applyBorder="1" applyAlignment="1">
      <alignment horizontal="left" vertical="center" wrapText="1"/>
    </xf>
    <xf numFmtId="0" fontId="14" fillId="2" borderId="0" xfId="0" applyFont="1" applyFill="1" applyAlignment="1">
      <alignment horizontal="left" vertical="center" wrapText="1"/>
    </xf>
    <xf numFmtId="0" fontId="14" fillId="9" borderId="196" xfId="0" applyFont="1" applyFill="1" applyBorder="1" applyAlignment="1">
      <alignment horizontal="left" vertical="center"/>
    </xf>
    <xf numFmtId="0" fontId="14" fillId="9" borderId="207" xfId="0" applyFont="1" applyFill="1" applyBorder="1" applyAlignment="1">
      <alignment horizontal="left" vertical="center"/>
    </xf>
    <xf numFmtId="0" fontId="14" fillId="9" borderId="199" xfId="0" applyFont="1" applyFill="1" applyBorder="1" applyAlignment="1">
      <alignment horizontal="left" vertical="center"/>
    </xf>
    <xf numFmtId="0" fontId="14" fillId="9" borderId="66" xfId="0" applyFont="1" applyFill="1" applyBorder="1">
      <alignment vertical="center"/>
    </xf>
    <xf numFmtId="0" fontId="14" fillId="9" borderId="64" xfId="0" applyFont="1" applyFill="1" applyBorder="1">
      <alignment vertical="center"/>
    </xf>
    <xf numFmtId="0" fontId="14" fillId="9" borderId="69" xfId="0" applyFont="1" applyFill="1" applyBorder="1">
      <alignment vertical="center"/>
    </xf>
    <xf numFmtId="0" fontId="14" fillId="13" borderId="28" xfId="0" applyFont="1" applyFill="1" applyBorder="1" applyAlignment="1" applyProtection="1">
      <alignment horizontal="left" vertical="center" wrapText="1" shrinkToFit="1"/>
      <protection locked="0"/>
    </xf>
    <xf numFmtId="0" fontId="14" fillId="13" borderId="13" xfId="0" applyFont="1" applyFill="1" applyBorder="1" applyAlignment="1" applyProtection="1">
      <alignment horizontal="left" vertical="center" wrapText="1" shrinkToFit="1"/>
      <protection locked="0"/>
    </xf>
    <xf numFmtId="0" fontId="14" fillId="13" borderId="58" xfId="0" applyFont="1" applyFill="1" applyBorder="1" applyAlignment="1" applyProtection="1">
      <alignment horizontal="left" vertical="center" wrapText="1" shrinkToFit="1"/>
      <protection locked="0"/>
    </xf>
    <xf numFmtId="0" fontId="14" fillId="13" borderId="28" xfId="0" applyFont="1" applyFill="1" applyBorder="1" applyAlignment="1" applyProtection="1">
      <alignment horizontal="left" vertical="center" wrapText="1"/>
      <protection locked="0"/>
    </xf>
    <xf numFmtId="0" fontId="14" fillId="13" borderId="13" xfId="0" applyFont="1" applyFill="1" applyBorder="1" applyAlignment="1" applyProtection="1">
      <alignment horizontal="left" vertical="center" wrapText="1"/>
      <protection locked="0"/>
    </xf>
    <xf numFmtId="0" fontId="14" fillId="13" borderId="58" xfId="0" applyFont="1" applyFill="1" applyBorder="1" applyAlignment="1" applyProtection="1">
      <alignment horizontal="left" vertical="center" wrapText="1"/>
      <protection locked="0"/>
    </xf>
    <xf numFmtId="0" fontId="14" fillId="13" borderId="28" xfId="0" applyFont="1" applyFill="1" applyBorder="1" applyAlignment="1" applyProtection="1">
      <alignment vertical="center" wrapText="1"/>
      <protection locked="0"/>
    </xf>
    <xf numFmtId="0" fontId="14" fillId="13" borderId="13" xfId="0" applyFont="1" applyFill="1" applyBorder="1" applyAlignment="1" applyProtection="1">
      <alignment vertical="center" wrapText="1"/>
      <protection locked="0"/>
    </xf>
    <xf numFmtId="0" fontId="14" fillId="13" borderId="58" xfId="0" applyFont="1" applyFill="1" applyBorder="1" applyAlignment="1" applyProtection="1">
      <alignment vertical="center" wrapText="1"/>
      <protection locked="0"/>
    </xf>
    <xf numFmtId="0" fontId="14" fillId="5" borderId="68" xfId="0" applyFont="1" applyFill="1" applyBorder="1" applyAlignment="1" applyProtection="1">
      <alignment horizontal="left" vertical="center" wrapText="1" shrinkToFit="1"/>
      <protection locked="0"/>
    </xf>
    <xf numFmtId="0" fontId="14" fillId="5" borderId="71" xfId="0" applyFont="1" applyFill="1" applyBorder="1" applyAlignment="1" applyProtection="1">
      <alignment horizontal="left" vertical="center" wrapText="1" shrinkToFit="1"/>
      <protection locked="0"/>
    </xf>
    <xf numFmtId="0" fontId="14" fillId="5" borderId="60" xfId="0" applyFont="1" applyFill="1" applyBorder="1" applyAlignment="1" applyProtection="1">
      <alignment horizontal="left" vertical="center" wrapText="1" shrinkToFit="1"/>
      <protection locked="0"/>
    </xf>
    <xf numFmtId="182" fontId="14" fillId="15" borderId="28" xfId="0" applyNumberFormat="1" applyFont="1" applyFill="1" applyBorder="1" applyAlignment="1" applyProtection="1">
      <alignment horizontal="center" vertical="center"/>
      <protection locked="0"/>
    </xf>
    <xf numFmtId="182" fontId="14" fillId="15" borderId="13" xfId="0" applyNumberFormat="1" applyFont="1" applyFill="1" applyBorder="1" applyAlignment="1" applyProtection="1">
      <alignment horizontal="center" vertical="center"/>
      <protection locked="0"/>
    </xf>
    <xf numFmtId="182" fontId="14" fillId="15" borderId="58" xfId="0" applyNumberFormat="1" applyFont="1" applyFill="1" applyBorder="1" applyAlignment="1" applyProtection="1">
      <alignment horizontal="center" vertical="center"/>
      <protection locked="0"/>
    </xf>
    <xf numFmtId="0" fontId="14" fillId="2" borderId="198" xfId="0" applyFont="1" applyFill="1" applyBorder="1" applyAlignment="1">
      <alignment horizontal="center" vertical="center" wrapText="1"/>
    </xf>
    <xf numFmtId="0" fontId="14" fillId="2" borderId="6" xfId="0" applyFont="1" applyFill="1" applyBorder="1" applyAlignment="1">
      <alignment horizontal="left" vertical="center" wrapText="1"/>
    </xf>
    <xf numFmtId="0" fontId="14" fillId="2" borderId="4" xfId="0" applyFont="1" applyFill="1" applyBorder="1" applyAlignment="1">
      <alignment horizontal="left" vertical="center" wrapText="1"/>
    </xf>
    <xf numFmtId="0" fontId="14" fillId="2" borderId="10" xfId="0" applyFont="1" applyFill="1" applyBorder="1" applyAlignment="1">
      <alignment horizontal="left" vertical="center" wrapText="1"/>
    </xf>
    <xf numFmtId="0" fontId="14" fillId="2" borderId="8"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5" borderId="28" xfId="0" applyFont="1" applyFill="1" applyBorder="1" applyAlignment="1" applyProtection="1">
      <alignment horizontal="left" vertical="center"/>
      <protection locked="0"/>
    </xf>
    <xf numFmtId="0" fontId="14" fillId="5" borderId="13" xfId="0" applyFont="1" applyFill="1" applyBorder="1" applyAlignment="1" applyProtection="1">
      <alignment horizontal="left" vertical="center"/>
      <protection locked="0"/>
    </xf>
    <xf numFmtId="0" fontId="14"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5" fillId="2" borderId="32" xfId="0" applyFont="1" applyFill="1" applyBorder="1" applyAlignment="1">
      <alignment horizontal="left" vertical="center" wrapText="1"/>
    </xf>
    <xf numFmtId="0" fontId="15" fillId="2" borderId="33" xfId="0" applyFont="1" applyFill="1" applyBorder="1" applyAlignment="1">
      <alignment horizontal="left" vertical="center" wrapText="1"/>
    </xf>
    <xf numFmtId="0" fontId="15" fillId="2" borderId="214" xfId="0" applyFont="1" applyFill="1" applyBorder="1" applyAlignment="1">
      <alignment horizontal="left" vertical="center" wrapText="1"/>
    </xf>
    <xf numFmtId="0" fontId="15" fillId="2" borderId="124" xfId="0" applyFont="1" applyFill="1" applyBorder="1" applyAlignment="1">
      <alignment horizontal="left" vertical="center" wrapText="1"/>
    </xf>
    <xf numFmtId="0" fontId="15" fillId="2" borderId="125" xfId="0" applyFont="1" applyFill="1" applyBorder="1" applyAlignment="1">
      <alignment horizontal="left" vertical="center" wrapText="1"/>
    </xf>
    <xf numFmtId="0" fontId="15" fillId="2" borderId="215" xfId="0" applyFont="1" applyFill="1" applyBorder="1" applyAlignment="1">
      <alignment horizontal="left" vertical="center" wrapText="1"/>
    </xf>
    <xf numFmtId="0" fontId="14" fillId="2" borderId="89" xfId="0" applyFont="1" applyFill="1" applyBorder="1" applyAlignment="1">
      <alignment horizontal="center" vertical="center" wrapText="1"/>
    </xf>
    <xf numFmtId="0" fontId="20" fillId="9" borderId="128" xfId="0" applyFont="1" applyFill="1" applyBorder="1" applyAlignment="1">
      <alignment horizontal="left" vertical="center" wrapText="1"/>
    </xf>
    <xf numFmtId="0" fontId="20" fillId="9" borderId="0" xfId="0" applyFont="1" applyFill="1" applyAlignment="1">
      <alignment horizontal="left" vertical="center" wrapText="1"/>
    </xf>
    <xf numFmtId="0" fontId="20" fillId="9" borderId="21" xfId="0" applyFont="1" applyFill="1" applyBorder="1" applyAlignment="1">
      <alignment horizontal="left" vertical="center" wrapText="1"/>
    </xf>
    <xf numFmtId="0" fontId="14" fillId="5" borderId="1" xfId="0" applyFont="1" applyFill="1" applyBorder="1" applyAlignment="1" applyProtection="1">
      <alignment horizontal="left" vertical="center" wrapText="1"/>
      <protection locked="0"/>
    </xf>
    <xf numFmtId="0" fontId="15" fillId="2" borderId="128" xfId="0" applyFont="1" applyFill="1" applyBorder="1" applyAlignment="1">
      <alignment horizontal="left" vertical="center" wrapText="1"/>
    </xf>
    <xf numFmtId="0" fontId="15" fillId="2" borderId="0" xfId="0" applyFont="1" applyFill="1" applyAlignment="1">
      <alignment horizontal="left" vertical="center" wrapText="1"/>
    </xf>
    <xf numFmtId="0" fontId="15" fillId="2" borderId="29" xfId="0" applyFont="1" applyFill="1" applyBorder="1" applyAlignment="1">
      <alignment horizontal="left" vertical="center" wrapText="1"/>
    </xf>
    <xf numFmtId="0" fontId="15" fillId="2" borderId="89" xfId="0" applyFont="1" applyFill="1" applyBorder="1" applyAlignment="1">
      <alignment horizontal="left" vertical="center" wrapText="1"/>
    </xf>
    <xf numFmtId="0" fontId="15" fillId="2" borderId="133" xfId="0" applyFont="1" applyFill="1" applyBorder="1" applyAlignment="1">
      <alignment horizontal="left" vertical="center" wrapText="1"/>
    </xf>
    <xf numFmtId="0" fontId="15" fillId="2" borderId="213" xfId="0" applyFont="1" applyFill="1" applyBorder="1" applyAlignment="1">
      <alignment horizontal="left" vertical="center" wrapText="1"/>
    </xf>
    <xf numFmtId="0" fontId="14" fillId="13" borderId="1" xfId="0" applyFont="1" applyFill="1" applyBorder="1" applyAlignment="1" applyProtection="1">
      <alignment horizontal="left" vertical="center" wrapText="1" shrinkToFit="1"/>
      <protection locked="0"/>
    </xf>
    <xf numFmtId="0" fontId="14" fillId="5" borderId="1" xfId="2" applyFont="1" applyFill="1" applyBorder="1" applyAlignment="1" applyProtection="1">
      <alignment horizontal="left" vertical="center" wrapText="1"/>
      <protection locked="0"/>
    </xf>
    <xf numFmtId="0" fontId="24" fillId="9" borderId="196" xfId="0" applyFont="1" applyFill="1" applyBorder="1" applyAlignment="1">
      <alignment horizontal="left" vertical="center" wrapText="1"/>
    </xf>
    <xf numFmtId="0" fontId="24" fillId="9" borderId="207" xfId="0" applyFont="1" applyFill="1" applyBorder="1" applyAlignment="1">
      <alignment horizontal="left" vertical="center" wrapText="1"/>
    </xf>
    <xf numFmtId="0" fontId="24" fillId="9" borderId="0" xfId="0" applyFont="1" applyFill="1" applyAlignment="1">
      <alignment horizontal="left" vertical="center" wrapText="1"/>
    </xf>
    <xf numFmtId="0" fontId="24" fillId="9" borderId="21" xfId="0" applyFont="1" applyFill="1" applyBorder="1" applyAlignment="1">
      <alignment horizontal="left" vertical="center" wrapText="1"/>
    </xf>
    <xf numFmtId="0" fontId="20" fillId="5" borderId="1" xfId="0" applyFont="1" applyFill="1" applyBorder="1" applyAlignment="1" applyProtection="1">
      <alignment horizontal="left" vertical="center" wrapText="1"/>
      <protection locked="0"/>
    </xf>
    <xf numFmtId="0" fontId="14" fillId="5" borderId="59" xfId="0" applyFont="1" applyFill="1" applyBorder="1" applyAlignment="1" applyProtection="1">
      <alignment horizontal="left" vertical="center"/>
      <protection locked="0"/>
    </xf>
    <xf numFmtId="0" fontId="14" fillId="0" borderId="212" xfId="0" applyFont="1" applyBorder="1" applyAlignment="1">
      <alignment horizontal="left" vertical="center"/>
    </xf>
    <xf numFmtId="0" fontId="14" fillId="0" borderId="128" xfId="0" applyFont="1" applyBorder="1" applyAlignment="1">
      <alignment horizontal="left" vertical="center"/>
    </xf>
    <xf numFmtId="0" fontId="14" fillId="14" borderId="28" xfId="0" applyFont="1" applyFill="1" applyBorder="1" applyAlignment="1" applyProtection="1">
      <alignment horizontal="left" vertical="top" wrapText="1"/>
      <protection locked="0"/>
    </xf>
    <xf numFmtId="0" fontId="14" fillId="14" borderId="13" xfId="0" applyFont="1" applyFill="1" applyBorder="1" applyAlignment="1" applyProtection="1">
      <alignment horizontal="left" vertical="top" wrapText="1"/>
      <protection locked="0"/>
    </xf>
    <xf numFmtId="0" fontId="14"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3" xfId="0" applyBorder="1" applyAlignment="1">
      <alignment horizontal="left" vertical="top" wrapText="1"/>
    </xf>
    <xf numFmtId="0" fontId="0" fillId="0" borderId="134" xfId="0" applyBorder="1" applyAlignment="1">
      <alignment horizontal="left" vertical="top" wrapText="1"/>
    </xf>
    <xf numFmtId="0" fontId="14" fillId="0" borderId="119" xfId="0" applyFont="1" applyBorder="1" applyAlignment="1">
      <alignment horizontal="left" vertical="center"/>
    </xf>
    <xf numFmtId="0" fontId="14" fillId="0" borderId="147" xfId="0" applyFont="1" applyBorder="1" applyAlignment="1">
      <alignment horizontal="left" vertical="center"/>
    </xf>
    <xf numFmtId="0" fontId="14" fillId="0" borderId="43" xfId="0" applyFont="1" applyBorder="1" applyAlignment="1">
      <alignment horizontal="left" vertical="center"/>
    </xf>
    <xf numFmtId="0" fontId="14" fillId="0" borderId="89" xfId="0" applyFont="1" applyBorder="1" applyAlignment="1">
      <alignment horizontal="left" vertical="center"/>
    </xf>
    <xf numFmtId="0" fontId="16" fillId="0" borderId="0" xfId="0" applyFont="1" applyAlignment="1">
      <alignment horizontal="center" vertical="center"/>
    </xf>
    <xf numFmtId="179" fontId="0" fillId="0" borderId="124" xfId="0" applyNumberFormat="1" applyBorder="1" applyAlignment="1">
      <alignment horizontal="left" vertical="center" shrinkToFit="1"/>
    </xf>
    <xf numFmtId="179" fontId="0" fillId="0" borderId="125" xfId="0" applyNumberFormat="1" applyBorder="1" applyAlignment="1">
      <alignment horizontal="left" vertical="center" shrinkToFit="1"/>
    </xf>
    <xf numFmtId="179" fontId="0" fillId="0" borderId="120" xfId="0" applyNumberFormat="1" applyBorder="1" applyAlignment="1">
      <alignment horizontal="left" vertical="center" shrinkToFit="1"/>
    </xf>
    <xf numFmtId="0" fontId="25" fillId="0" borderId="196" xfId="0" applyFont="1" applyBorder="1" applyAlignment="1">
      <alignment horizontal="left" vertical="center" wrapText="1"/>
    </xf>
    <xf numFmtId="0" fontId="25" fillId="0" borderId="207" xfId="0" applyFont="1" applyBorder="1" applyAlignment="1">
      <alignment horizontal="left" vertical="center" wrapText="1"/>
    </xf>
    <xf numFmtId="0" fontId="25" fillId="0" borderId="197" xfId="0" applyFont="1" applyBorder="1" applyAlignment="1">
      <alignment horizontal="left" vertical="center" wrapText="1"/>
    </xf>
    <xf numFmtId="0" fontId="77" fillId="14" borderId="28" xfId="0" applyFont="1" applyFill="1" applyBorder="1" applyAlignment="1" applyProtection="1">
      <alignment horizontal="left" vertical="top"/>
      <protection locked="0"/>
    </xf>
    <xf numFmtId="0" fontId="77" fillId="14" borderId="13" xfId="0" applyFont="1" applyFill="1" applyBorder="1" applyAlignment="1" applyProtection="1">
      <alignment horizontal="left" vertical="top"/>
      <protection locked="0"/>
    </xf>
    <xf numFmtId="0" fontId="77" fillId="14" borderId="58" xfId="0" applyFont="1" applyFill="1" applyBorder="1" applyAlignment="1" applyProtection="1">
      <alignment horizontal="left" vertical="top"/>
      <protection locked="0"/>
    </xf>
    <xf numFmtId="0" fontId="14" fillId="18" borderId="1" xfId="0" applyFont="1" applyFill="1" applyBorder="1">
      <alignment vertical="center"/>
    </xf>
    <xf numFmtId="0" fontId="14" fillId="18" borderId="28" xfId="0" applyFont="1" applyFill="1" applyBorder="1" applyAlignment="1">
      <alignment horizontal="left" vertical="center" wrapText="1"/>
    </xf>
    <xf numFmtId="0" fontId="14" fillId="18" borderId="13" xfId="0" applyFont="1" applyFill="1" applyBorder="1" applyAlignment="1">
      <alignment horizontal="left" vertical="center" wrapText="1"/>
    </xf>
    <xf numFmtId="0" fontId="14" fillId="18" borderId="58" xfId="0" applyFont="1" applyFill="1" applyBorder="1" applyAlignment="1">
      <alignment horizontal="left" vertical="center" wrapText="1"/>
    </xf>
    <xf numFmtId="0" fontId="77" fillId="14" borderId="28" xfId="0" applyFont="1" applyFill="1" applyBorder="1" applyAlignment="1" applyProtection="1">
      <alignment horizontal="left" vertical="top" wrapText="1"/>
      <protection locked="0"/>
    </xf>
    <xf numFmtId="0" fontId="77" fillId="14" borderId="13" xfId="0" applyFont="1" applyFill="1" applyBorder="1" applyAlignment="1" applyProtection="1">
      <alignment horizontal="left" vertical="top" wrapText="1"/>
      <protection locked="0"/>
    </xf>
    <xf numFmtId="0" fontId="77" fillId="14" borderId="58" xfId="0" applyFont="1" applyFill="1" applyBorder="1" applyAlignment="1" applyProtection="1">
      <alignment horizontal="left" vertical="top" wrapText="1"/>
      <protection locked="0"/>
    </xf>
    <xf numFmtId="0" fontId="16" fillId="25" borderId="0" xfId="0" applyFont="1" applyFill="1" applyAlignment="1">
      <alignment horizontal="center" vertical="center" wrapText="1"/>
    </xf>
    <xf numFmtId="0" fontId="40" fillId="25" borderId="0" xfId="0" applyFont="1" applyFill="1" applyAlignment="1">
      <alignment horizontal="right" vertical="center" shrinkToFit="1"/>
    </xf>
    <xf numFmtId="0" fontId="14" fillId="30" borderId="1" xfId="0" applyFont="1" applyFill="1" applyBorder="1" applyAlignment="1" applyProtection="1">
      <alignment horizontal="center" vertical="center" wrapText="1"/>
      <protection locked="0"/>
    </xf>
    <xf numFmtId="0" fontId="14" fillId="0" borderId="78" xfId="0" applyFont="1" applyBorder="1" applyAlignment="1">
      <alignment horizontal="left" vertical="center" wrapText="1"/>
    </xf>
    <xf numFmtId="0" fontId="14" fillId="0" borderId="14" xfId="0" applyFont="1" applyBorder="1" applyAlignment="1">
      <alignment horizontal="left" vertical="center" wrapText="1"/>
    </xf>
    <xf numFmtId="0" fontId="39" fillId="25" borderId="0" xfId="0" applyFont="1" applyFill="1" applyAlignment="1">
      <alignment horizontal="left" vertical="top" wrapText="1"/>
    </xf>
    <xf numFmtId="0" fontId="14" fillId="26" borderId="1" xfId="0" applyFont="1" applyFill="1" applyBorder="1" applyAlignment="1">
      <alignment horizontal="center" vertical="center" wrapText="1"/>
    </xf>
    <xf numFmtId="0" fontId="14" fillId="25" borderId="1" xfId="0" applyFont="1" applyFill="1" applyBorder="1" applyAlignment="1">
      <alignment horizontal="center" vertical="center" wrapText="1"/>
    </xf>
    <xf numFmtId="0" fontId="14" fillId="25" borderId="0" xfId="0" applyFont="1" applyFill="1" applyAlignment="1">
      <alignment vertical="center" wrapText="1"/>
    </xf>
    <xf numFmtId="0" fontId="14" fillId="20" borderId="52" xfId="0" applyFont="1" applyFill="1" applyBorder="1" applyAlignment="1">
      <alignment horizontal="center" vertical="center" shrinkToFit="1"/>
    </xf>
    <xf numFmtId="0" fontId="14" fillId="20" borderId="0" xfId="0" applyFont="1" applyFill="1" applyAlignment="1">
      <alignment horizontal="center" vertical="center" shrinkToFit="1"/>
    </xf>
    <xf numFmtId="0" fontId="14" fillId="7" borderId="28" xfId="0" applyFont="1" applyFill="1" applyBorder="1" applyAlignment="1" applyProtection="1">
      <alignment horizontal="center" vertical="center"/>
      <protection locked="0"/>
    </xf>
    <xf numFmtId="0" fontId="14" fillId="7" borderId="13" xfId="0" applyFont="1" applyFill="1" applyBorder="1" applyAlignment="1" applyProtection="1">
      <alignment horizontal="center" vertical="center"/>
      <protection locked="0"/>
    </xf>
    <xf numFmtId="0" fontId="14" fillId="7" borderId="58" xfId="0" applyFont="1" applyFill="1" applyBorder="1" applyAlignment="1" applyProtection="1">
      <alignment horizontal="center" vertical="center"/>
      <protection locked="0"/>
    </xf>
    <xf numFmtId="0" fontId="14" fillId="20" borderId="178" xfId="0" applyFont="1" applyFill="1" applyBorder="1" applyAlignment="1">
      <alignment horizontal="center" vertical="center" shrinkToFit="1"/>
    </xf>
    <xf numFmtId="0" fontId="14" fillId="20" borderId="207" xfId="0" applyFont="1" applyFill="1" applyBorder="1" applyAlignment="1">
      <alignment horizontal="center" vertical="center" shrinkToFit="1"/>
    </xf>
    <xf numFmtId="0" fontId="14" fillId="18" borderId="196" xfId="0" applyFont="1" applyFill="1" applyBorder="1" applyAlignment="1">
      <alignment horizontal="left" vertical="center" wrapText="1"/>
    </xf>
    <xf numFmtId="0" fontId="14" fillId="18" borderId="207" xfId="0" applyFont="1" applyFill="1" applyBorder="1" applyAlignment="1">
      <alignment horizontal="left" vertical="center" wrapText="1"/>
    </xf>
    <xf numFmtId="0" fontId="14" fillId="18" borderId="200" xfId="0" applyFont="1" applyFill="1" applyBorder="1" applyAlignment="1">
      <alignment horizontal="left" vertical="center" wrapText="1"/>
    </xf>
    <xf numFmtId="0" fontId="14" fillId="14" borderId="196" xfId="0" applyFont="1" applyFill="1" applyBorder="1" applyAlignment="1" applyProtection="1">
      <alignment horizontal="left" vertical="top"/>
      <protection locked="0"/>
    </xf>
    <xf numFmtId="0" fontId="14" fillId="14" borderId="207" xfId="0" applyFont="1" applyFill="1" applyBorder="1" applyAlignment="1" applyProtection="1">
      <alignment horizontal="left" vertical="top"/>
      <protection locked="0"/>
    </xf>
    <xf numFmtId="0" fontId="14" fillId="14" borderId="197" xfId="0" applyFont="1" applyFill="1" applyBorder="1" applyAlignment="1" applyProtection="1">
      <alignment horizontal="left" vertical="top"/>
      <protection locked="0"/>
    </xf>
    <xf numFmtId="0" fontId="14" fillId="14" borderId="128" xfId="0" applyFont="1" applyFill="1" applyBorder="1" applyAlignment="1" applyProtection="1">
      <alignment horizontal="left" vertical="top"/>
      <protection locked="0"/>
    </xf>
    <xf numFmtId="0" fontId="14" fillId="14" borderId="0" xfId="0" applyFont="1" applyFill="1" applyAlignment="1" applyProtection="1">
      <alignment horizontal="left" vertical="top"/>
      <protection locked="0"/>
    </xf>
    <xf numFmtId="0" fontId="14" fillId="14" borderId="21" xfId="0" applyFont="1" applyFill="1" applyBorder="1" applyAlignment="1" applyProtection="1">
      <alignment horizontal="left" vertical="top"/>
      <protection locked="0"/>
    </xf>
    <xf numFmtId="0" fontId="14" fillId="14" borderId="89" xfId="0" applyFont="1" applyFill="1" applyBorder="1" applyAlignment="1" applyProtection="1">
      <alignment horizontal="left" vertical="top"/>
      <protection locked="0"/>
    </xf>
    <xf numFmtId="0" fontId="14" fillId="14" borderId="133" xfId="0" applyFont="1" applyFill="1" applyBorder="1" applyAlignment="1" applyProtection="1">
      <alignment horizontal="left" vertical="top"/>
      <protection locked="0"/>
    </xf>
    <xf numFmtId="0" fontId="14" fillId="14" borderId="134" xfId="0" applyFont="1" applyFill="1" applyBorder="1" applyAlignment="1" applyProtection="1">
      <alignment horizontal="left" vertical="top"/>
      <protection locked="0"/>
    </xf>
    <xf numFmtId="0" fontId="14" fillId="2" borderId="196" xfId="0" applyFont="1" applyFill="1" applyBorder="1" applyAlignment="1">
      <alignment horizontal="center" vertical="center"/>
    </xf>
    <xf numFmtId="0" fontId="14" fillId="2" borderId="89" xfId="0" applyFont="1" applyFill="1" applyBorder="1" applyAlignment="1">
      <alignment horizontal="center" vertical="center"/>
    </xf>
    <xf numFmtId="0" fontId="14" fillId="2" borderId="123" xfId="0" applyFont="1" applyFill="1" applyBorder="1" applyAlignment="1">
      <alignment horizontal="center" vertical="center"/>
    </xf>
    <xf numFmtId="0" fontId="14" fillId="2" borderId="124" xfId="0" applyFont="1" applyFill="1" applyBorder="1" applyAlignment="1">
      <alignment horizontal="center" vertical="center"/>
    </xf>
    <xf numFmtId="0" fontId="46" fillId="14" borderId="28" xfId="9" applyFont="1" applyFill="1" applyBorder="1" applyAlignment="1" applyProtection="1">
      <alignment horizontal="left" vertical="top" shrinkToFit="1"/>
      <protection locked="0"/>
    </xf>
    <xf numFmtId="0" fontId="46" fillId="14" borderId="13" xfId="9" applyFont="1" applyFill="1" applyBorder="1" applyAlignment="1" applyProtection="1">
      <alignment horizontal="left" vertical="top" shrinkToFit="1"/>
      <protection locked="0"/>
    </xf>
    <xf numFmtId="0" fontId="46" fillId="14" borderId="58" xfId="9" applyFont="1" applyFill="1" applyBorder="1" applyAlignment="1" applyProtection="1">
      <alignment horizontal="left" vertical="top" shrinkToFit="1"/>
      <protection locked="0"/>
    </xf>
    <xf numFmtId="0" fontId="32" fillId="14" borderId="28" xfId="9" applyFill="1" applyBorder="1" applyAlignment="1" applyProtection="1">
      <alignment horizontal="left" vertical="top" shrinkToFit="1"/>
      <protection locked="0"/>
    </xf>
    <xf numFmtId="0" fontId="32" fillId="14" borderId="13" xfId="9" applyFill="1" applyBorder="1" applyAlignment="1" applyProtection="1">
      <alignment horizontal="left" vertical="top" shrinkToFit="1"/>
      <protection locked="0"/>
    </xf>
    <xf numFmtId="0" fontId="32" fillId="14" borderId="5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8" xfId="0" applyFill="1" applyBorder="1" applyAlignment="1">
      <alignment horizontal="left" vertical="center"/>
    </xf>
    <xf numFmtId="0" fontId="20" fillId="14" borderId="28" xfId="0" applyFont="1" applyFill="1" applyBorder="1" applyAlignment="1" applyProtection="1">
      <alignment horizontal="left" vertical="center"/>
      <protection locked="0"/>
    </xf>
    <xf numFmtId="0" fontId="20" fillId="14" borderId="13" xfId="0" applyFont="1" applyFill="1" applyBorder="1" applyAlignment="1" applyProtection="1">
      <alignment horizontal="left" vertical="center"/>
      <protection locked="0"/>
    </xf>
    <xf numFmtId="0" fontId="20" fillId="18" borderId="28" xfId="0" applyFont="1" applyFill="1" applyBorder="1" applyAlignment="1">
      <alignment horizontal="left" vertical="center"/>
    </xf>
    <xf numFmtId="0" fontId="20" fillId="18" borderId="58" xfId="0" applyFont="1" applyFill="1" applyBorder="1" applyAlignment="1">
      <alignment horizontal="left" vertical="center"/>
    </xf>
    <xf numFmtId="0" fontId="20" fillId="18" borderId="66" xfId="0" applyFont="1" applyFill="1" applyBorder="1" applyAlignment="1">
      <alignment horizontal="center" vertical="center"/>
    </xf>
    <xf numFmtId="0" fontId="20" fillId="18" borderId="67" xfId="0" applyFont="1" applyFill="1" applyBorder="1" applyAlignment="1">
      <alignment horizontal="center" vertical="center"/>
    </xf>
    <xf numFmtId="0" fontId="37" fillId="9" borderId="0" xfId="0" applyFont="1" applyFill="1" applyAlignment="1">
      <alignment horizontal="left" vertical="top" wrapText="1"/>
    </xf>
    <xf numFmtId="0" fontId="56" fillId="10" borderId="0" xfId="0" applyFont="1" applyFill="1" applyAlignment="1">
      <alignment horizontal="center" vertical="center"/>
    </xf>
    <xf numFmtId="0" fontId="7" fillId="10" borderId="0" xfId="0" applyFont="1" applyFill="1" applyAlignment="1">
      <alignment horizontal="left" vertical="center" wrapText="1"/>
    </xf>
    <xf numFmtId="0" fontId="20" fillId="20" borderId="0" xfId="0" applyFont="1" applyFill="1" applyAlignment="1">
      <alignment horizontal="left" vertical="center" wrapText="1"/>
    </xf>
    <xf numFmtId="179" fontId="7" fillId="10" borderId="124" xfId="0" applyNumberFormat="1" applyFont="1" applyFill="1" applyBorder="1" applyAlignment="1">
      <alignment horizontal="center" vertical="center" shrinkToFit="1"/>
    </xf>
    <xf numFmtId="179" fontId="7" fillId="10" borderId="125" xfId="0" applyNumberFormat="1" applyFont="1" applyFill="1" applyBorder="1" applyAlignment="1">
      <alignment horizontal="center" vertical="center" shrinkToFit="1"/>
    </xf>
    <xf numFmtId="179" fontId="7" fillId="10" borderId="120"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6" fillId="9" borderId="0" xfId="3" applyFont="1" applyFill="1" applyAlignment="1">
      <alignment horizontal="center" vertical="center" wrapText="1"/>
    </xf>
    <xf numFmtId="49" fontId="14" fillId="5" borderId="28" xfId="0" applyNumberFormat="1" applyFont="1" applyFill="1" applyBorder="1" applyAlignment="1" applyProtection="1">
      <alignment horizontal="left" vertical="center"/>
      <protection locked="0"/>
    </xf>
    <xf numFmtId="49" fontId="14" fillId="5" borderId="13" xfId="0" applyNumberFormat="1" applyFont="1" applyFill="1" applyBorder="1" applyAlignment="1" applyProtection="1">
      <alignment horizontal="left" vertical="center"/>
      <protection locked="0"/>
    </xf>
    <xf numFmtId="49" fontId="14" fillId="5" borderId="58" xfId="0" applyNumberFormat="1" applyFont="1" applyFill="1" applyBorder="1" applyAlignment="1" applyProtection="1">
      <alignment horizontal="left" vertical="center"/>
      <protection locked="0"/>
    </xf>
    <xf numFmtId="0" fontId="0" fillId="2" borderId="128" xfId="0" applyFill="1" applyBorder="1" applyAlignment="1">
      <alignment horizontal="center" vertical="center" wrapText="1"/>
    </xf>
    <xf numFmtId="0" fontId="0" fillId="0" borderId="61" xfId="0" applyBorder="1" applyAlignment="1">
      <alignment horizontal="center" vertical="center" wrapText="1"/>
    </xf>
    <xf numFmtId="0" fontId="0" fillId="2" borderId="89" xfId="0" applyFill="1" applyBorder="1" applyAlignment="1">
      <alignment horizontal="center" vertical="center" wrapText="1"/>
    </xf>
    <xf numFmtId="0" fontId="0" fillId="0" borderId="102" xfId="0" applyBorder="1" applyAlignment="1">
      <alignment horizontal="center" vertical="center" wrapText="1"/>
    </xf>
    <xf numFmtId="0" fontId="14" fillId="9" borderId="0" xfId="0" applyFont="1" applyFill="1" applyAlignment="1">
      <alignment horizontal="left" vertical="center"/>
    </xf>
    <xf numFmtId="179" fontId="8" fillId="9" borderId="125" xfId="0" applyNumberFormat="1" applyFont="1" applyFill="1" applyBorder="1" applyAlignment="1">
      <alignment horizontal="left" vertical="center" shrinkToFit="1"/>
    </xf>
    <xf numFmtId="0" fontId="22" fillId="2" borderId="128" xfId="0" applyFont="1" applyFill="1" applyBorder="1" applyAlignment="1">
      <alignment horizontal="left" vertical="center" wrapText="1"/>
    </xf>
    <xf numFmtId="0" fontId="0" fillId="0" borderId="61" xfId="0" applyBorder="1" applyAlignment="1">
      <alignment horizontal="left" vertical="center" wrapText="1"/>
    </xf>
    <xf numFmtId="0" fontId="15" fillId="0" borderId="0" xfId="0" applyFont="1" applyAlignment="1">
      <alignment horizontal="left" vertical="center" wrapText="1"/>
    </xf>
    <xf numFmtId="0" fontId="7" fillId="9" borderId="124" xfId="0" applyFont="1" applyFill="1" applyBorder="1" applyAlignment="1">
      <alignment horizontal="center" vertical="center" wrapText="1"/>
    </xf>
    <xf numFmtId="0" fontId="7" fillId="9" borderId="125" xfId="0" applyFont="1" applyFill="1" applyBorder="1" applyAlignment="1">
      <alignment horizontal="center" vertical="center" wrapText="1"/>
    </xf>
    <xf numFmtId="0" fontId="7" fillId="2" borderId="196" xfId="0" applyFont="1" applyFill="1" applyBorder="1" applyAlignment="1">
      <alignment horizontal="center" vertical="center" wrapText="1"/>
    </xf>
    <xf numFmtId="0" fontId="7" fillId="2" borderId="197" xfId="0" applyFont="1" applyFill="1" applyBorder="1" applyAlignment="1">
      <alignment horizontal="center" vertical="center" wrapText="1"/>
    </xf>
    <xf numFmtId="0" fontId="0" fillId="9" borderId="124" xfId="0" applyFill="1" applyBorder="1" applyAlignment="1">
      <alignment horizontal="center" vertical="center"/>
    </xf>
    <xf numFmtId="0" fontId="0" fillId="9" borderId="120" xfId="0" applyFill="1" applyBorder="1" applyAlignment="1">
      <alignment horizontal="center" vertical="center"/>
    </xf>
    <xf numFmtId="0" fontId="75" fillId="0" borderId="133" xfId="0" applyFont="1" applyBorder="1" applyAlignment="1">
      <alignment horizontal="left" wrapText="1"/>
    </xf>
    <xf numFmtId="0" fontId="75" fillId="0" borderId="0" xfId="0" applyFont="1" applyAlignment="1">
      <alignment horizontal="left" wrapText="1"/>
    </xf>
    <xf numFmtId="0" fontId="62" fillId="2" borderId="124" xfId="0" applyFont="1" applyFill="1" applyBorder="1" applyAlignment="1">
      <alignment horizontal="center" vertical="center" wrapText="1"/>
    </xf>
    <xf numFmtId="0" fontId="62" fillId="2" borderId="120" xfId="0" applyFont="1" applyFill="1" applyBorder="1" applyAlignment="1">
      <alignment horizontal="center" vertical="center" wrapText="1"/>
    </xf>
    <xf numFmtId="0" fontId="0" fillId="18" borderId="196" xfId="0" applyFill="1" applyBorder="1" applyAlignment="1">
      <alignment horizontal="left" vertical="center"/>
    </xf>
    <xf numFmtId="0" fontId="0" fillId="18" borderId="207" xfId="0" applyFill="1" applyBorder="1" applyAlignment="1">
      <alignment horizontal="left" vertical="center"/>
    </xf>
    <xf numFmtId="0" fontId="0" fillId="18" borderId="197" xfId="0" applyFill="1" applyBorder="1" applyAlignment="1">
      <alignment horizontal="left" vertical="center"/>
    </xf>
    <xf numFmtId="0" fontId="0" fillId="14" borderId="68" xfId="0" applyFill="1" applyBorder="1" applyAlignment="1" applyProtection="1">
      <alignment horizontal="left" vertical="center"/>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8" fillId="9" borderId="124" xfId="0" applyNumberFormat="1" applyFont="1" applyFill="1" applyBorder="1" applyAlignment="1">
      <alignment horizontal="left" vertical="center" wrapText="1"/>
    </xf>
    <xf numFmtId="179" fontId="8" fillId="9" borderId="125" xfId="0" applyNumberFormat="1" applyFont="1" applyFill="1" applyBorder="1" applyAlignment="1">
      <alignment horizontal="left" vertical="center" wrapText="1"/>
    </xf>
    <xf numFmtId="179" fontId="8" fillId="9" borderId="120" xfId="0" applyNumberFormat="1" applyFont="1" applyFill="1" applyBorder="1" applyAlignment="1">
      <alignment horizontal="left" vertical="center" wrapText="1"/>
    </xf>
    <xf numFmtId="0" fontId="11" fillId="9"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0" borderId="124" xfId="0" applyBorder="1" applyAlignment="1">
      <alignment horizontal="center" vertical="center" shrinkToFit="1"/>
    </xf>
    <xf numFmtId="0" fontId="0" fillId="0" borderId="120" xfId="0" applyBorder="1" applyAlignment="1">
      <alignment horizontal="center" vertical="center" shrinkToFit="1"/>
    </xf>
    <xf numFmtId="0" fontId="2" fillId="36" borderId="28" xfId="19" applyFont="1" applyFill="1" applyBorder="1" applyAlignment="1" applyProtection="1">
      <alignment horizontal="center" vertical="center" wrapText="1"/>
      <protection locked="0"/>
    </xf>
    <xf numFmtId="0" fontId="32" fillId="36" borderId="58" xfId="19" applyFont="1" applyFill="1" applyBorder="1" applyAlignment="1" applyProtection="1">
      <alignment horizontal="center" vertical="center" wrapText="1"/>
      <protection locked="0"/>
    </xf>
    <xf numFmtId="0" fontId="14" fillId="9" borderId="52" xfId="0" applyFont="1" applyFill="1" applyBorder="1" applyAlignment="1">
      <alignment horizontal="left" vertical="center" wrapText="1"/>
    </xf>
    <xf numFmtId="0" fontId="14" fillId="9" borderId="0" xfId="0" applyFont="1" applyFill="1" applyAlignment="1">
      <alignment horizontal="left" vertical="center" wrapText="1"/>
    </xf>
    <xf numFmtId="0" fontId="58" fillId="14" borderId="28" xfId="0" applyFont="1" applyFill="1" applyBorder="1" applyAlignment="1" applyProtection="1">
      <alignment horizontal="center" vertical="center" wrapText="1"/>
      <protection locked="0"/>
    </xf>
    <xf numFmtId="0" fontId="58" fillId="14" borderId="58" xfId="0" applyFont="1" applyFill="1" applyBorder="1" applyAlignment="1" applyProtection="1">
      <alignment horizontal="center" vertical="center" wrapText="1"/>
      <protection locked="0"/>
    </xf>
    <xf numFmtId="0" fontId="14" fillId="9" borderId="61" xfId="0" applyFont="1" applyFill="1" applyBorder="1" applyAlignment="1">
      <alignment horizontal="left" vertical="center"/>
    </xf>
    <xf numFmtId="0" fontId="58" fillId="20" borderId="13" xfId="0" applyFont="1" applyFill="1" applyBorder="1" applyAlignment="1">
      <alignment horizontal="center" vertical="center" wrapText="1"/>
    </xf>
    <xf numFmtId="0" fontId="39" fillId="9" borderId="0" xfId="0" applyFont="1" applyFill="1" applyAlignment="1">
      <alignment horizontal="left" vertical="top" wrapText="1"/>
    </xf>
    <xf numFmtId="0" fontId="14" fillId="2" borderId="133" xfId="0" applyFont="1" applyFill="1" applyBorder="1" applyAlignment="1">
      <alignment horizontal="center" vertical="center"/>
    </xf>
    <xf numFmtId="0" fontId="14" fillId="2" borderId="134" xfId="0" applyFont="1" applyFill="1" applyBorder="1" applyAlignment="1">
      <alignment horizontal="center" vertical="center"/>
    </xf>
    <xf numFmtId="0" fontId="14" fillId="2" borderId="123" xfId="0" applyFont="1" applyFill="1" applyBorder="1" applyAlignment="1">
      <alignment horizontal="center" vertical="center" shrinkToFit="1"/>
    </xf>
    <xf numFmtId="0" fontId="14" fillId="9" borderId="124" xfId="0" applyFont="1" applyFill="1" applyBorder="1" applyAlignment="1">
      <alignment horizontal="left" vertical="center" wrapText="1"/>
    </xf>
    <xf numFmtId="0" fontId="14" fillId="9" borderId="125" xfId="0" applyFont="1" applyFill="1" applyBorder="1" applyAlignment="1">
      <alignment horizontal="left" vertical="center" wrapText="1"/>
    </xf>
    <xf numFmtId="0" fontId="14" fillId="9" borderId="120" xfId="0" applyFont="1" applyFill="1" applyBorder="1" applyAlignment="1">
      <alignment horizontal="left" vertical="center" wrapText="1"/>
    </xf>
    <xf numFmtId="0" fontId="14" fillId="9" borderId="66" xfId="0" applyFont="1" applyFill="1" applyBorder="1" applyAlignment="1">
      <alignment horizontal="left" vertical="center" wrapText="1"/>
    </xf>
    <xf numFmtId="0" fontId="14" fillId="9" borderId="64" xfId="0" applyFont="1" applyFill="1" applyBorder="1" applyAlignment="1">
      <alignment horizontal="left" vertical="center" wrapText="1"/>
    </xf>
    <xf numFmtId="0" fontId="14" fillId="9" borderId="67" xfId="0" applyFont="1" applyFill="1" applyBorder="1" applyAlignment="1">
      <alignment horizontal="left" vertical="center" wrapText="1"/>
    </xf>
    <xf numFmtId="0" fontId="25" fillId="9" borderId="0" xfId="0" applyFont="1" applyFill="1" applyAlignment="1">
      <alignment horizontal="left" vertical="center" wrapText="1"/>
    </xf>
    <xf numFmtId="0" fontId="14" fillId="5" borderId="68" xfId="0" applyFont="1" applyFill="1" applyBorder="1" applyAlignment="1" applyProtection="1">
      <alignment horizontal="left" vertical="center" wrapText="1"/>
      <protection locked="0"/>
    </xf>
    <xf numFmtId="0" fontId="14" fillId="5" borderId="71" xfId="0" applyFont="1" applyFill="1" applyBorder="1" applyAlignment="1" applyProtection="1">
      <alignment horizontal="left" vertical="center" wrapText="1"/>
      <protection locked="0"/>
    </xf>
    <xf numFmtId="0" fontId="14" fillId="5" borderId="60" xfId="0" applyFont="1" applyFill="1" applyBorder="1" applyAlignment="1" applyProtection="1">
      <alignment horizontal="left" vertical="center" wrapText="1"/>
      <protection locked="0"/>
    </xf>
    <xf numFmtId="0" fontId="14" fillId="5" borderId="52" xfId="0" applyFont="1" applyFill="1" applyBorder="1" applyAlignment="1" applyProtection="1">
      <alignment horizontal="left" vertical="center" wrapText="1"/>
      <protection locked="0"/>
    </xf>
    <xf numFmtId="0" fontId="14" fillId="5" borderId="0" xfId="0" applyFont="1" applyFill="1" applyAlignment="1" applyProtection="1">
      <alignment horizontal="left" vertical="center" wrapText="1"/>
      <protection locked="0"/>
    </xf>
    <xf numFmtId="0" fontId="14" fillId="5" borderId="61" xfId="0" applyFont="1" applyFill="1" applyBorder="1" applyAlignment="1" applyProtection="1">
      <alignment horizontal="left" vertical="center" wrapText="1"/>
      <protection locked="0"/>
    </xf>
    <xf numFmtId="0" fontId="14" fillId="5" borderId="55" xfId="0" applyFont="1" applyFill="1" applyBorder="1" applyAlignment="1" applyProtection="1">
      <alignment horizontal="left" vertical="center" wrapText="1"/>
      <protection locked="0"/>
    </xf>
    <xf numFmtId="0" fontId="14" fillId="5" borderId="14" xfId="0" applyFont="1" applyFill="1" applyBorder="1" applyAlignment="1" applyProtection="1">
      <alignment horizontal="left" vertical="center" wrapText="1"/>
      <protection locked="0"/>
    </xf>
    <xf numFmtId="0" fontId="14" fillId="5" borderId="59" xfId="0" applyFont="1" applyFill="1" applyBorder="1" applyAlignment="1" applyProtection="1">
      <alignment horizontal="left" vertical="center" wrapText="1"/>
      <protection locked="0"/>
    </xf>
    <xf numFmtId="0" fontId="8" fillId="2" borderId="66" xfId="0" applyFont="1" applyFill="1" applyBorder="1" applyAlignment="1">
      <alignment horizontal="left" vertical="center" wrapText="1"/>
    </xf>
    <xf numFmtId="0" fontId="8" fillId="2" borderId="64"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0" fillId="9" borderId="125" xfId="0" applyFill="1" applyBorder="1" applyAlignment="1">
      <alignment horizontal="left" vertical="center"/>
    </xf>
    <xf numFmtId="0" fontId="0" fillId="9" borderId="0" xfId="0" applyFill="1" applyAlignment="1">
      <alignment horizontal="left" vertical="center"/>
    </xf>
    <xf numFmtId="0" fontId="22" fillId="2" borderId="202" xfId="0" applyFont="1" applyFill="1" applyBorder="1" applyAlignment="1">
      <alignment horizontal="left" vertical="center"/>
    </xf>
    <xf numFmtId="0" fontId="22" fillId="2" borderId="104" xfId="0" applyFont="1" applyFill="1" applyBorder="1" applyAlignment="1">
      <alignment horizontal="left" vertical="center"/>
    </xf>
    <xf numFmtId="0" fontId="22" fillId="2" borderId="71" xfId="0" applyFont="1" applyFill="1" applyBorder="1" applyAlignment="1">
      <alignment horizontal="left" vertical="center"/>
    </xf>
    <xf numFmtId="0" fontId="22" fillId="2" borderId="202" xfId="0" applyFont="1" applyFill="1" applyBorder="1" applyAlignment="1">
      <alignment horizontal="left" vertical="center" wrapText="1"/>
    </xf>
    <xf numFmtId="0" fontId="22" fillId="9" borderId="104" xfId="0" applyFont="1" applyFill="1" applyBorder="1" applyAlignment="1">
      <alignment horizontal="left" vertical="center" wrapText="1"/>
    </xf>
    <xf numFmtId="0" fontId="0" fillId="9" borderId="125" xfId="0" applyFill="1" applyBorder="1" applyAlignment="1">
      <alignment horizontal="left" vertical="center" wrapText="1"/>
    </xf>
    <xf numFmtId="0" fontId="17" fillId="9" borderId="71" xfId="0" applyFont="1" applyFill="1" applyBorder="1" applyAlignment="1">
      <alignment horizontal="left" vertical="center" wrapText="1"/>
    </xf>
    <xf numFmtId="0" fontId="17" fillId="9" borderId="60" xfId="0" applyFont="1" applyFill="1" applyBorder="1" applyAlignment="1">
      <alignment horizontal="left" vertical="center" wrapText="1"/>
    </xf>
    <xf numFmtId="0" fontId="17" fillId="9" borderId="14" xfId="0" applyFont="1" applyFill="1" applyBorder="1" applyAlignment="1">
      <alignment horizontal="left" vertical="center" wrapText="1"/>
    </xf>
    <xf numFmtId="0" fontId="17" fillId="9" borderId="59" xfId="0" applyFont="1" applyFill="1" applyBorder="1" applyAlignment="1">
      <alignment horizontal="left" vertical="center" wrapText="1"/>
    </xf>
    <xf numFmtId="0" fontId="0" fillId="2" borderId="190" xfId="0" applyFill="1" applyBorder="1" applyAlignment="1">
      <alignment horizontal="center" vertical="center"/>
    </xf>
    <xf numFmtId="0" fontId="0" fillId="9" borderId="190" xfId="0" applyFill="1" applyBorder="1" applyAlignment="1">
      <alignment horizontal="left" vertical="center" wrapText="1"/>
    </xf>
    <xf numFmtId="0" fontId="0" fillId="20" borderId="0" xfId="0" applyFill="1" applyAlignment="1">
      <alignment horizontal="left" vertical="center" wrapText="1"/>
    </xf>
    <xf numFmtId="0" fontId="8" fillId="20" borderId="0" xfId="0" applyFont="1" applyFill="1" applyAlignment="1">
      <alignment horizontal="left" vertical="center" wrapText="1"/>
    </xf>
    <xf numFmtId="179" fontId="8" fillId="10" borderId="124" xfId="0" applyNumberFormat="1" applyFont="1" applyFill="1" applyBorder="1" applyAlignment="1">
      <alignment horizontal="left" vertical="center" shrinkToFit="1"/>
    </xf>
    <xf numFmtId="179" fontId="8" fillId="10" borderId="125" xfId="0" applyNumberFormat="1" applyFont="1" applyFill="1" applyBorder="1" applyAlignment="1">
      <alignment horizontal="left" vertical="center" shrinkToFit="1"/>
    </xf>
    <xf numFmtId="179" fontId="8" fillId="10" borderId="120" xfId="0" applyNumberFormat="1" applyFont="1" applyFill="1" applyBorder="1" applyAlignment="1">
      <alignment horizontal="left" vertical="center" shrinkToFit="1"/>
    </xf>
    <xf numFmtId="0" fontId="0" fillId="9" borderId="191" xfId="0" applyFill="1" applyBorder="1" applyAlignment="1">
      <alignment horizontal="left" vertical="center" wrapText="1"/>
    </xf>
    <xf numFmtId="0" fontId="0" fillId="9" borderId="192" xfId="0" applyFill="1" applyBorder="1" applyAlignment="1">
      <alignment horizontal="left" vertical="center" wrapText="1"/>
    </xf>
    <xf numFmtId="0" fontId="0" fillId="9" borderId="193" xfId="0" applyFill="1" applyBorder="1" applyAlignment="1">
      <alignment horizontal="left" vertical="center" wrapText="1"/>
    </xf>
    <xf numFmtId="0" fontId="0" fillId="2" borderId="89" xfId="0" applyFill="1" applyBorder="1" applyAlignment="1">
      <alignment horizontal="left" vertical="center" wrapText="1"/>
    </xf>
    <xf numFmtId="0" fontId="0" fillId="2" borderId="133" xfId="0" applyFill="1" applyBorder="1" applyAlignment="1">
      <alignment horizontal="left" vertical="center" wrapText="1"/>
    </xf>
    <xf numFmtId="0" fontId="0" fillId="9" borderId="194" xfId="0" applyFill="1" applyBorder="1" applyAlignment="1">
      <alignment horizontal="left" vertical="center" wrapText="1"/>
    </xf>
    <xf numFmtId="0" fontId="0" fillId="9" borderId="217" xfId="0" applyFill="1" applyBorder="1" applyAlignment="1">
      <alignment horizontal="left" vertical="center" wrapText="1"/>
    </xf>
    <xf numFmtId="0" fontId="0" fillId="9" borderId="97" xfId="0" applyFill="1" applyBorder="1" applyAlignment="1">
      <alignment horizontal="left" vertical="center" wrapText="1"/>
    </xf>
    <xf numFmtId="0" fontId="0" fillId="9" borderId="190" xfId="0" applyFill="1" applyBorder="1" applyAlignment="1">
      <alignment horizontal="left" vertical="center"/>
    </xf>
    <xf numFmtId="0" fontId="0" fillId="2" borderId="66" xfId="0" applyFill="1" applyBorder="1" applyAlignment="1">
      <alignment horizontal="left" vertical="center" wrapText="1"/>
    </xf>
    <xf numFmtId="0" fontId="11" fillId="10" borderId="0" xfId="0" applyFont="1" applyFill="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15" fillId="2" borderId="41" xfId="0" applyFont="1" applyFill="1" applyBorder="1" applyAlignment="1">
      <alignment horizontal="center" vertical="center" wrapText="1"/>
    </xf>
    <xf numFmtId="0" fontId="27" fillId="9" borderId="0" xfId="0" applyFont="1" applyFill="1">
      <alignment vertical="center"/>
    </xf>
    <xf numFmtId="0" fontId="15" fillId="2" borderId="124" xfId="0" applyFont="1" applyFill="1" applyBorder="1" applyAlignment="1">
      <alignment horizontal="center" vertical="center"/>
    </xf>
    <xf numFmtId="0" fontId="15" fillId="2" borderId="40"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5" fillId="9" borderId="0" xfId="0" applyFont="1" applyFill="1">
      <alignment vertical="center"/>
    </xf>
    <xf numFmtId="0" fontId="79" fillId="10" borderId="0" xfId="0" applyFont="1" applyFill="1" applyAlignment="1">
      <alignment horizontal="left" vertical="center" wrapText="1"/>
    </xf>
    <xf numFmtId="0" fontId="59" fillId="10" borderId="0" xfId="0" applyFont="1" applyFill="1" applyAlignment="1">
      <alignment horizontal="left" vertical="center" wrapText="1"/>
    </xf>
    <xf numFmtId="0" fontId="14" fillId="2" borderId="13" xfId="0" applyFont="1" applyFill="1" applyBorder="1" applyAlignment="1">
      <alignment horizontal="center" vertical="center"/>
    </xf>
    <xf numFmtId="0" fontId="14" fillId="2" borderId="89" xfId="0" applyFont="1" applyFill="1" applyBorder="1" applyAlignment="1">
      <alignment horizontal="left" vertical="center"/>
    </xf>
    <xf numFmtId="0" fontId="14" fillId="2" borderId="133" xfId="0" applyFont="1" applyFill="1" applyBorder="1" applyAlignment="1">
      <alignment horizontal="left" vertical="center"/>
    </xf>
    <xf numFmtId="0" fontId="14" fillId="2" borderId="102" xfId="0" applyFont="1" applyFill="1" applyBorder="1" applyAlignment="1">
      <alignment horizontal="left" vertical="center"/>
    </xf>
    <xf numFmtId="0" fontId="14" fillId="9" borderId="13" xfId="0" applyFont="1" applyFill="1" applyBorder="1" applyAlignment="1" applyProtection="1">
      <alignment horizontal="center" vertical="center" shrinkToFit="1"/>
      <protection locked="0"/>
    </xf>
    <xf numFmtId="0" fontId="14" fillId="9" borderId="58" xfId="0" applyFont="1" applyFill="1" applyBorder="1" applyAlignment="1" applyProtection="1">
      <alignment horizontal="center" vertical="center" shrinkToFit="1"/>
      <protection locked="0"/>
    </xf>
    <xf numFmtId="0" fontId="14" fillId="18" borderId="101" xfId="0" applyFont="1" applyFill="1" applyBorder="1" applyAlignment="1">
      <alignment horizontal="center" vertical="center"/>
    </xf>
    <xf numFmtId="0" fontId="14" fillId="18" borderId="100" xfId="0" applyFont="1" applyFill="1" applyBorder="1" applyAlignment="1">
      <alignment horizontal="center" vertical="center"/>
    </xf>
    <xf numFmtId="0" fontId="14" fillId="16" borderId="99" xfId="0" applyFont="1" applyFill="1" applyBorder="1" applyAlignment="1" applyProtection="1">
      <alignment horizontal="center" vertical="center"/>
      <protection locked="0"/>
    </xf>
    <xf numFmtId="0" fontId="14" fillId="16" borderId="98" xfId="0" applyFont="1" applyFill="1" applyBorder="1" applyAlignment="1" applyProtection="1">
      <alignment horizontal="center" vertical="center"/>
      <protection locked="0"/>
    </xf>
    <xf numFmtId="0" fontId="14" fillId="18" borderId="67" xfId="0" applyFont="1" applyFill="1" applyBorder="1" applyAlignment="1">
      <alignment horizontal="center" vertical="center"/>
    </xf>
    <xf numFmtId="0" fontId="14" fillId="18" borderId="66" xfId="0" applyFont="1" applyFill="1" applyBorder="1" applyAlignment="1">
      <alignment horizontal="center" vertical="center"/>
    </xf>
    <xf numFmtId="0" fontId="14" fillId="18" borderId="90" xfId="0" applyFont="1" applyFill="1" applyBorder="1" applyAlignment="1">
      <alignment horizontal="center" vertical="center"/>
    </xf>
    <xf numFmtId="0" fontId="15" fillId="2" borderId="46" xfId="0" applyFont="1" applyFill="1" applyBorder="1" applyAlignment="1">
      <alignment horizontal="left" vertical="center" wrapText="1"/>
    </xf>
    <xf numFmtId="0" fontId="15" fillId="2" borderId="70" xfId="0" applyFont="1" applyFill="1" applyBorder="1" applyAlignment="1">
      <alignment horizontal="left" vertical="center" wrapText="1"/>
    </xf>
    <xf numFmtId="0" fontId="14" fillId="2" borderId="32" xfId="0" applyFont="1" applyFill="1" applyBorder="1" applyAlignment="1">
      <alignment horizontal="center" vertical="center" wrapText="1"/>
    </xf>
    <xf numFmtId="0" fontId="14" fillId="2" borderId="117" xfId="0" applyFont="1" applyFill="1" applyBorder="1" applyAlignment="1">
      <alignment horizontal="center" vertical="center" wrapText="1"/>
    </xf>
    <xf numFmtId="0" fontId="0" fillId="0" borderId="212" xfId="0" applyBorder="1">
      <alignment vertical="center"/>
    </xf>
    <xf numFmtId="0" fontId="0" fillId="0" borderId="43" xfId="0" applyBorder="1">
      <alignment vertical="center"/>
    </xf>
    <xf numFmtId="0" fontId="14" fillId="2" borderId="122" xfId="0" applyFont="1" applyFill="1" applyBorder="1" applyAlignment="1">
      <alignment horizontal="left" vertical="center"/>
    </xf>
    <xf numFmtId="0" fontId="14" fillId="2" borderId="134" xfId="0" applyFont="1" applyFill="1" applyBorder="1" applyAlignment="1">
      <alignment horizontal="left" vertical="center"/>
    </xf>
    <xf numFmtId="179" fontId="14" fillId="10" borderId="124" xfId="0" applyNumberFormat="1" applyFont="1" applyFill="1" applyBorder="1" applyAlignment="1">
      <alignment horizontal="left" vertical="center" shrinkToFit="1"/>
    </xf>
    <xf numFmtId="179" fontId="14" fillId="10" borderId="125" xfId="0" applyNumberFormat="1" applyFont="1" applyFill="1" applyBorder="1" applyAlignment="1">
      <alignment horizontal="left" vertical="center" shrinkToFit="1"/>
    </xf>
    <xf numFmtId="179" fontId="14" fillId="10" borderId="120" xfId="0" applyNumberFormat="1" applyFont="1" applyFill="1" applyBorder="1" applyAlignment="1">
      <alignment horizontal="left" vertical="center" shrinkToFit="1"/>
    </xf>
    <xf numFmtId="0" fontId="7" fillId="4" borderId="75" xfId="0" applyFont="1" applyFill="1" applyBorder="1" applyAlignment="1">
      <alignment horizontal="center" vertical="center"/>
    </xf>
    <xf numFmtId="0" fontId="7" fillId="4" borderId="87" xfId="0" applyFont="1" applyFill="1" applyBorder="1" applyAlignment="1">
      <alignment horizontal="center" vertical="center"/>
    </xf>
    <xf numFmtId="0" fontId="7" fillId="4" borderId="76" xfId="0" applyFont="1" applyFill="1" applyBorder="1" applyAlignment="1">
      <alignment horizontal="center" vertical="center"/>
    </xf>
    <xf numFmtId="0" fontId="7" fillId="0" borderId="0" xfId="0" applyFont="1" applyAlignment="1">
      <alignment horizontal="right" vertical="center"/>
    </xf>
    <xf numFmtId="0" fontId="7" fillId="0" borderId="204" xfId="0" applyFont="1" applyBorder="1" applyAlignment="1">
      <alignment horizontal="right" vertical="center"/>
    </xf>
    <xf numFmtId="0" fontId="14" fillId="4" borderId="89" xfId="0" applyFont="1" applyFill="1" applyBorder="1" applyAlignment="1" applyProtection="1">
      <alignment horizontal="center" vertical="center" shrinkToFit="1"/>
      <protection locked="0"/>
    </xf>
    <xf numFmtId="0" fontId="14" fillId="9" borderId="133" xfId="0" applyFont="1" applyFill="1" applyBorder="1" applyAlignment="1" applyProtection="1">
      <alignment horizontal="center" vertical="center" shrinkToFit="1"/>
      <protection locked="0"/>
    </xf>
    <xf numFmtId="0" fontId="14" fillId="9" borderId="134" xfId="0" applyFont="1" applyFill="1" applyBorder="1" applyAlignment="1" applyProtection="1">
      <alignment horizontal="center" vertical="center" shrinkToFit="1"/>
      <protection locked="0"/>
    </xf>
    <xf numFmtId="0" fontId="14" fillId="2" borderId="124" xfId="0" applyFont="1" applyFill="1" applyBorder="1" applyAlignment="1">
      <alignment horizontal="left" vertical="center" shrinkToFit="1"/>
    </xf>
    <xf numFmtId="0" fontId="14" fillId="2" borderId="125" xfId="0" applyFont="1" applyFill="1" applyBorder="1" applyAlignment="1">
      <alignment horizontal="left" vertical="center" shrinkToFit="1"/>
    </xf>
    <xf numFmtId="0" fontId="14" fillId="2" borderId="122" xfId="0" applyFont="1" applyFill="1" applyBorder="1" applyAlignment="1">
      <alignment horizontal="left" vertical="center" shrinkToFit="1"/>
    </xf>
    <xf numFmtId="0" fontId="14" fillId="10" borderId="0" xfId="0" applyFont="1" applyFill="1" applyAlignment="1">
      <alignment horizontal="left" vertical="center"/>
    </xf>
    <xf numFmtId="0" fontId="14" fillId="18" borderId="124" xfId="0" applyFont="1" applyFill="1" applyBorder="1" applyAlignment="1">
      <alignment horizontal="left" vertical="center" wrapText="1"/>
    </xf>
    <xf numFmtId="0" fontId="14" fillId="18" borderId="125" xfId="0" applyFont="1" applyFill="1" applyBorder="1" applyAlignment="1">
      <alignment horizontal="left" vertical="center"/>
    </xf>
    <xf numFmtId="0" fontId="14" fillId="18" borderId="122" xfId="0" applyFont="1" applyFill="1" applyBorder="1" applyAlignment="1">
      <alignment horizontal="left" vertical="center"/>
    </xf>
    <xf numFmtId="0" fontId="14" fillId="18" borderId="6" xfId="0" applyFont="1" applyFill="1" applyBorder="1" applyAlignment="1">
      <alignment horizontal="left" vertical="center" wrapText="1"/>
    </xf>
    <xf numFmtId="0" fontId="14" fillId="18" borderId="4" xfId="0" applyFont="1" applyFill="1" applyBorder="1" applyAlignment="1">
      <alignment horizontal="left" vertical="center"/>
    </xf>
    <xf numFmtId="0" fontId="14" fillId="18" borderId="205" xfId="0" applyFont="1" applyFill="1" applyBorder="1" applyAlignment="1">
      <alignment horizontal="left" vertical="center"/>
    </xf>
    <xf numFmtId="0" fontId="37" fillId="18" borderId="4" xfId="0" applyFont="1" applyFill="1" applyBorder="1" applyAlignment="1">
      <alignment horizontal="left" vertical="center"/>
    </xf>
    <xf numFmtId="0" fontId="37" fillId="18" borderId="205" xfId="0" applyFont="1" applyFill="1" applyBorder="1" applyAlignment="1">
      <alignment horizontal="left" vertical="center"/>
    </xf>
    <xf numFmtId="0" fontId="14" fillId="18" borderId="4" xfId="0" applyFont="1" applyFill="1" applyBorder="1" applyAlignment="1">
      <alignment horizontal="left" vertical="center" wrapText="1"/>
    </xf>
    <xf numFmtId="0" fontId="14" fillId="18" borderId="205" xfId="0" applyFont="1" applyFill="1" applyBorder="1" applyAlignment="1">
      <alignment horizontal="left" vertical="center" wrapText="1"/>
    </xf>
    <xf numFmtId="179" fontId="14" fillId="9" borderId="124" xfId="0" applyNumberFormat="1" applyFont="1" applyFill="1" applyBorder="1" applyAlignment="1">
      <alignment horizontal="left" vertical="center" shrinkToFit="1"/>
    </xf>
    <xf numFmtId="179" fontId="14" fillId="9" borderId="125" xfId="0" applyNumberFormat="1" applyFont="1" applyFill="1" applyBorder="1" applyAlignment="1">
      <alignment horizontal="left" vertical="center" shrinkToFit="1"/>
    </xf>
    <xf numFmtId="179" fontId="14" fillId="9" borderId="120" xfId="0" applyNumberFormat="1" applyFont="1" applyFill="1" applyBorder="1" applyAlignment="1">
      <alignment horizontal="left" vertical="center" shrinkToFit="1"/>
    </xf>
    <xf numFmtId="0" fontId="14" fillId="35" borderId="133" xfId="0" applyFont="1" applyFill="1" applyBorder="1" applyAlignment="1">
      <alignment horizontal="left" vertical="center" wrapText="1"/>
    </xf>
    <xf numFmtId="0" fontId="16" fillId="34" borderId="0" xfId="0" applyFont="1" applyFill="1" applyAlignment="1">
      <alignment horizontal="center" vertical="center" wrapText="1"/>
    </xf>
    <xf numFmtId="179" fontId="8" fillId="35" borderId="124" xfId="0" applyNumberFormat="1" applyFont="1" applyFill="1" applyBorder="1" applyAlignment="1">
      <alignment horizontal="left" vertical="center" shrinkToFit="1"/>
    </xf>
    <xf numFmtId="179" fontId="8" fillId="35" borderId="125" xfId="0" applyNumberFormat="1" applyFont="1" applyFill="1" applyBorder="1" applyAlignment="1">
      <alignment horizontal="left" vertical="center" shrinkToFit="1"/>
    </xf>
    <xf numFmtId="179" fontId="8" fillId="35" borderId="120" xfId="0" applyNumberFormat="1" applyFont="1" applyFill="1" applyBorder="1" applyAlignment="1">
      <alignment horizontal="left" vertical="center" shrinkToFit="1"/>
    </xf>
    <xf numFmtId="0" fontId="14" fillId="35" borderId="0" xfId="0" applyFont="1" applyFill="1" applyAlignment="1">
      <alignment vertical="center" wrapText="1"/>
    </xf>
    <xf numFmtId="0" fontId="14" fillId="34" borderId="0" xfId="0" applyFont="1" applyFill="1" applyAlignment="1">
      <alignment vertical="center" wrapText="1"/>
    </xf>
    <xf numFmtId="0" fontId="39" fillId="20" borderId="0" xfId="0" applyFont="1" applyFill="1" applyAlignment="1">
      <alignment horizontal="left" vertical="top" wrapText="1"/>
    </xf>
    <xf numFmtId="0" fontId="0" fillId="0" borderId="123" xfId="0" applyBorder="1" applyAlignment="1">
      <alignment horizontal="center" vertical="center" wrapText="1"/>
    </xf>
    <xf numFmtId="0" fontId="0" fillId="0" borderId="123" xfId="0" applyBorder="1" applyAlignment="1">
      <alignment horizontal="center" vertical="center"/>
    </xf>
    <xf numFmtId="0" fontId="20" fillId="2" borderId="196" xfId="0" applyFont="1" applyFill="1" applyBorder="1" applyAlignment="1">
      <alignment horizontal="center" vertical="center"/>
    </xf>
    <xf numFmtId="0" fontId="20" fillId="2" borderId="197" xfId="0" applyFont="1" applyFill="1" applyBorder="1" applyAlignment="1">
      <alignment horizontal="center" vertical="center"/>
    </xf>
    <xf numFmtId="0" fontId="20" fillId="2" borderId="128" xfId="0" applyFont="1" applyFill="1" applyBorder="1" applyAlignment="1">
      <alignment horizontal="center" vertical="center"/>
    </xf>
    <xf numFmtId="0" fontId="20" fillId="2" borderId="21" xfId="0" applyFont="1" applyFill="1" applyBorder="1" applyAlignment="1">
      <alignment horizontal="center" vertical="center"/>
    </xf>
    <xf numFmtId="0" fontId="0" fillId="18" borderId="123" xfId="0" applyFill="1" applyBorder="1" applyAlignment="1">
      <alignment horizontal="center" vertical="center"/>
    </xf>
    <xf numFmtId="0" fontId="14" fillId="0" borderId="109" xfId="0" applyFont="1" applyBorder="1" applyAlignment="1">
      <alignment horizontal="center" vertical="center"/>
    </xf>
    <xf numFmtId="0" fontId="14" fillId="0" borderId="110" xfId="0" applyFont="1" applyBorder="1" applyAlignment="1">
      <alignment horizontal="center" vertical="center"/>
    </xf>
    <xf numFmtId="0" fontId="14" fillId="0" borderId="127" xfId="0" applyFont="1" applyBorder="1" applyAlignment="1">
      <alignment horizontal="center" vertical="center"/>
    </xf>
    <xf numFmtId="0" fontId="15" fillId="14" borderId="28" xfId="0" applyFont="1" applyFill="1" applyBorder="1" applyAlignment="1" applyProtection="1">
      <alignment horizontal="center" vertical="center" wrapText="1"/>
      <protection locked="0"/>
    </xf>
    <xf numFmtId="0" fontId="15" fillId="14" borderId="58" xfId="0" applyFont="1" applyFill="1" applyBorder="1" applyAlignment="1" applyProtection="1">
      <alignment horizontal="center" vertical="center" wrapText="1"/>
      <protection locked="0"/>
    </xf>
    <xf numFmtId="0" fontId="0" fillId="18" borderId="198" xfId="0" applyFill="1" applyBorder="1" applyAlignment="1">
      <alignment horizontal="center" vertical="center" wrapText="1"/>
    </xf>
    <xf numFmtId="0" fontId="0" fillId="0" borderId="43" xfId="0" applyBorder="1" applyAlignment="1">
      <alignment horizontal="center" vertical="center"/>
    </xf>
    <xf numFmtId="49" fontId="24" fillId="2" borderId="103" xfId="0" applyNumberFormat="1" applyFont="1" applyFill="1" applyBorder="1" applyAlignment="1">
      <alignment horizontal="center" vertical="center" wrapText="1"/>
    </xf>
    <xf numFmtId="49" fontId="24" fillId="2" borderId="80" xfId="0" applyNumberFormat="1" applyFont="1" applyFill="1" applyBorder="1" applyAlignment="1">
      <alignment horizontal="center" vertical="center" wrapText="1"/>
    </xf>
    <xf numFmtId="0" fontId="24" fillId="2" borderId="44" xfId="0" applyFont="1" applyFill="1" applyBorder="1" applyAlignment="1">
      <alignment horizontal="center" vertical="center"/>
    </xf>
    <xf numFmtId="0" fontId="24" fillId="2" borderId="47" xfId="0" applyFont="1" applyFill="1" applyBorder="1" applyAlignment="1">
      <alignment horizontal="center" vertical="center"/>
    </xf>
    <xf numFmtId="0" fontId="61" fillId="2" borderId="150" xfId="0" applyFont="1" applyFill="1" applyBorder="1" applyAlignment="1">
      <alignment horizontal="center" vertical="center" wrapText="1"/>
    </xf>
    <xf numFmtId="0" fontId="61" fillId="2" borderId="95" xfId="0" applyFont="1" applyFill="1" applyBorder="1" applyAlignment="1">
      <alignment horizontal="center" vertical="center" wrapText="1"/>
    </xf>
    <xf numFmtId="0" fontId="24" fillId="2" borderId="150" xfId="0" applyFont="1" applyFill="1" applyBorder="1" applyAlignment="1">
      <alignment horizontal="center" vertical="center" wrapText="1"/>
    </xf>
    <xf numFmtId="0" fontId="24" fillId="2" borderId="95" xfId="0" applyFont="1" applyFill="1" applyBorder="1" applyAlignment="1">
      <alignment horizontal="center" vertical="center" wrapText="1"/>
    </xf>
    <xf numFmtId="0" fontId="24" fillId="2" borderId="72"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24" fillId="2" borderId="7" xfId="0" applyFont="1" applyFill="1" applyBorder="1" applyAlignment="1">
      <alignment horizontal="center" vertical="center" wrapText="1"/>
    </xf>
    <xf numFmtId="0" fontId="0" fillId="14" borderId="124" xfId="0" applyFill="1" applyBorder="1" applyAlignment="1" applyProtection="1">
      <alignment horizontal="center" vertical="center"/>
      <protection locked="0"/>
    </xf>
    <xf numFmtId="0" fontId="0" fillId="14" borderId="125" xfId="0" applyFill="1" applyBorder="1" applyAlignment="1" applyProtection="1">
      <alignment horizontal="center" vertical="center"/>
      <protection locked="0"/>
    </xf>
    <xf numFmtId="0" fontId="0" fillId="14" borderId="120" xfId="0" applyFill="1" applyBorder="1" applyAlignment="1" applyProtection="1">
      <alignment horizontal="center" vertical="center"/>
      <protection locked="0"/>
    </xf>
    <xf numFmtId="0" fontId="0" fillId="14" borderId="123" xfId="0" applyFill="1" applyBorder="1" applyAlignment="1" applyProtection="1">
      <alignment horizontal="center" vertical="center"/>
      <protection locked="0"/>
    </xf>
    <xf numFmtId="14" fontId="0" fillId="14" borderId="123" xfId="0" applyNumberFormat="1" applyFill="1" applyBorder="1" applyAlignment="1" applyProtection="1">
      <alignment horizontal="center" vertical="center"/>
      <protection locked="0"/>
    </xf>
    <xf numFmtId="0" fontId="0" fillId="0" borderId="124" xfId="0" applyBorder="1" applyAlignment="1">
      <alignment horizontal="center" vertical="center" wrapText="1"/>
    </xf>
    <xf numFmtId="0" fontId="0" fillId="0" borderId="125" xfId="0" applyBorder="1" applyAlignment="1">
      <alignment horizontal="center" vertical="center"/>
    </xf>
    <xf numFmtId="0" fontId="0" fillId="0" borderId="120" xfId="0" applyBorder="1" applyAlignment="1">
      <alignment horizontal="center" vertical="center"/>
    </xf>
    <xf numFmtId="0" fontId="0" fillId="0" borderId="124" xfId="0" applyBorder="1" applyAlignment="1">
      <alignment horizontal="center" vertical="center"/>
    </xf>
    <xf numFmtId="0" fontId="0" fillId="20" borderId="0" xfId="0" applyFill="1" applyAlignment="1">
      <alignment vertical="center" wrapText="1"/>
    </xf>
    <xf numFmtId="0" fontId="0" fillId="20" borderId="0" xfId="0" applyFill="1">
      <alignment vertical="center"/>
    </xf>
    <xf numFmtId="0" fontId="14" fillId="5" borderId="196" xfId="0" applyFont="1" applyFill="1" applyBorder="1" applyAlignment="1" applyProtection="1">
      <alignment horizontal="left" vertical="top" wrapText="1"/>
      <protection locked="0"/>
    </xf>
    <xf numFmtId="0" fontId="14" fillId="5" borderId="195" xfId="0" applyFont="1" applyFill="1" applyBorder="1" applyAlignment="1" applyProtection="1">
      <alignment horizontal="left" vertical="top" wrapText="1"/>
      <protection locked="0"/>
    </xf>
    <xf numFmtId="0" fontId="14" fillId="5" borderId="197" xfId="0" applyFont="1" applyFill="1" applyBorder="1" applyAlignment="1" applyProtection="1">
      <alignment horizontal="left" vertical="top" wrapText="1"/>
      <protection locked="0"/>
    </xf>
    <xf numFmtId="0" fontId="14" fillId="5" borderId="128" xfId="0" applyFont="1" applyFill="1" applyBorder="1" applyAlignment="1" applyProtection="1">
      <alignment horizontal="left" vertical="top" wrapText="1"/>
      <protection locked="0"/>
    </xf>
    <xf numFmtId="0" fontId="14" fillId="5" borderId="21" xfId="0" applyFont="1" applyFill="1" applyBorder="1" applyAlignment="1" applyProtection="1">
      <alignment horizontal="left" vertical="top" wrapText="1"/>
      <protection locked="0"/>
    </xf>
    <xf numFmtId="0" fontId="14" fillId="5" borderId="89" xfId="0" applyFont="1" applyFill="1" applyBorder="1" applyAlignment="1" applyProtection="1">
      <alignment horizontal="left" vertical="top" wrapText="1"/>
      <protection locked="0"/>
    </xf>
    <xf numFmtId="0" fontId="14" fillId="5" borderId="133" xfId="0" applyFont="1" applyFill="1" applyBorder="1" applyAlignment="1" applyProtection="1">
      <alignment horizontal="left" vertical="top" wrapText="1"/>
      <protection locked="0"/>
    </xf>
    <xf numFmtId="0" fontId="14" fillId="5" borderId="134" xfId="0" applyFont="1" applyFill="1" applyBorder="1" applyAlignment="1" applyProtection="1">
      <alignment horizontal="left" vertical="top" wrapText="1"/>
      <protection locked="0"/>
    </xf>
    <xf numFmtId="0" fontId="0" fillId="18" borderId="123" xfId="0" applyFill="1" applyBorder="1" applyAlignment="1">
      <alignment horizontal="left" vertical="center" wrapText="1"/>
    </xf>
    <xf numFmtId="0" fontId="14" fillId="4" borderId="124" xfId="0" applyFont="1" applyFill="1" applyBorder="1" applyAlignment="1" applyProtection="1">
      <alignment horizontal="center" vertical="center"/>
      <protection locked="0"/>
    </xf>
    <xf numFmtId="0" fontId="14" fillId="4" borderId="120" xfId="0" applyFont="1" applyFill="1" applyBorder="1" applyAlignment="1" applyProtection="1">
      <alignment horizontal="center" vertical="center"/>
      <protection locked="0"/>
    </xf>
    <xf numFmtId="0" fontId="0" fillId="18" borderId="198" xfId="0" applyFill="1" applyBorder="1" applyAlignment="1">
      <alignment horizontal="left" vertical="center" wrapText="1"/>
    </xf>
    <xf numFmtId="0" fontId="0" fillId="18" borderId="124" xfId="0" applyFill="1" applyBorder="1" applyAlignment="1">
      <alignment horizontal="left" vertical="center" wrapText="1"/>
    </xf>
    <xf numFmtId="0" fontId="0" fillId="18" borderId="125" xfId="0" applyFill="1" applyBorder="1" applyAlignment="1">
      <alignment horizontal="left" vertical="center" wrapText="1"/>
    </xf>
    <xf numFmtId="0" fontId="0" fillId="18" borderId="120" xfId="0" applyFill="1" applyBorder="1" applyAlignment="1">
      <alignment horizontal="left" vertical="center" wrapText="1"/>
    </xf>
    <xf numFmtId="0" fontId="0" fillId="18" borderId="196" xfId="0" applyFill="1" applyBorder="1" applyAlignment="1">
      <alignment horizontal="left" vertical="center" wrapText="1"/>
    </xf>
    <xf numFmtId="0" fontId="0" fillId="18" borderId="195" xfId="0" applyFill="1" applyBorder="1" applyAlignment="1">
      <alignment horizontal="left" vertical="center" wrapText="1"/>
    </xf>
    <xf numFmtId="0" fontId="0" fillId="18" borderId="197" xfId="0" applyFill="1" applyBorder="1" applyAlignment="1">
      <alignment horizontal="left" vertical="center" wrapText="1"/>
    </xf>
    <xf numFmtId="0" fontId="14" fillId="4" borderId="123" xfId="0" applyFont="1" applyFill="1" applyBorder="1" applyAlignment="1" applyProtection="1">
      <alignment horizontal="center" vertical="center"/>
      <protection locked="0"/>
    </xf>
    <xf numFmtId="0" fontId="14" fillId="30" borderId="185" xfId="0" applyFont="1" applyFill="1" applyBorder="1" applyAlignment="1" applyProtection="1">
      <alignment horizontal="center" vertical="center" wrapText="1"/>
      <protection locked="0"/>
    </xf>
    <xf numFmtId="0" fontId="14" fillId="30" borderId="106" xfId="0" applyFont="1" applyFill="1" applyBorder="1" applyAlignment="1" applyProtection="1">
      <alignment horizontal="center" vertical="center" wrapText="1"/>
      <protection locked="0"/>
    </xf>
    <xf numFmtId="0" fontId="14" fillId="30" borderId="105" xfId="0" applyFont="1" applyFill="1" applyBorder="1" applyAlignment="1" applyProtection="1">
      <alignment horizontal="center" vertical="center" wrapText="1"/>
      <protection locked="0"/>
    </xf>
    <xf numFmtId="0" fontId="14" fillId="30" borderId="107" xfId="0" applyFont="1" applyFill="1" applyBorder="1" applyAlignment="1" applyProtection="1">
      <alignment horizontal="center" vertical="center" wrapText="1"/>
      <protection locked="0"/>
    </xf>
    <xf numFmtId="0" fontId="14" fillId="30" borderId="93" xfId="0" applyFont="1" applyFill="1" applyBorder="1" applyAlignment="1" applyProtection="1">
      <alignment horizontal="center" vertical="center" wrapText="1"/>
      <protection locked="0"/>
    </xf>
    <xf numFmtId="0" fontId="14" fillId="30" borderId="54" xfId="0" applyFont="1" applyFill="1" applyBorder="1" applyAlignment="1" applyProtection="1">
      <alignment horizontal="center" vertical="center" wrapText="1"/>
      <protection locked="0"/>
    </xf>
    <xf numFmtId="0" fontId="89" fillId="0" borderId="0" xfId="0" applyFont="1" applyAlignment="1">
      <alignment horizontal="center" vertical="center" wrapText="1"/>
    </xf>
    <xf numFmtId="0" fontId="67" fillId="0" borderId="0" xfId="0" applyFont="1" applyAlignment="1">
      <alignment horizontal="right" vertical="center"/>
    </xf>
    <xf numFmtId="0" fontId="0" fillId="0" borderId="0" xfId="0" applyAlignment="1">
      <alignment horizontal="left" vertical="center"/>
    </xf>
    <xf numFmtId="0" fontId="7" fillId="0" borderId="0" xfId="0" applyFont="1" applyAlignment="1">
      <alignment horizontal="left" vertical="center"/>
    </xf>
    <xf numFmtId="0" fontId="15" fillId="27" borderId="124" xfId="0" applyFont="1" applyFill="1" applyBorder="1" applyAlignment="1">
      <alignment horizontal="center" vertical="center" wrapText="1"/>
    </xf>
    <xf numFmtId="0" fontId="15" fillId="27" borderId="125" xfId="0" applyFont="1" applyFill="1" applyBorder="1" applyAlignment="1">
      <alignment horizontal="center" vertical="center" wrapText="1"/>
    </xf>
    <xf numFmtId="0" fontId="15" fillId="27" borderId="120" xfId="0" applyFont="1" applyFill="1" applyBorder="1" applyAlignment="1">
      <alignment horizontal="center" vertical="center" wrapText="1"/>
    </xf>
    <xf numFmtId="0" fontId="14" fillId="31" borderId="185" xfId="0" applyFont="1" applyFill="1" applyBorder="1" applyAlignment="1">
      <alignment horizontal="center" vertical="center" wrapText="1"/>
    </xf>
    <xf numFmtId="0" fontId="14" fillId="31" borderId="106" xfId="0" applyFont="1" applyFill="1" applyBorder="1" applyAlignment="1">
      <alignment horizontal="center" vertical="center" wrapText="1"/>
    </xf>
    <xf numFmtId="0" fontId="14" fillId="31" borderId="105" xfId="0" applyFont="1" applyFill="1" applyBorder="1" applyAlignment="1">
      <alignment horizontal="center" vertical="center" wrapText="1"/>
    </xf>
    <xf numFmtId="0" fontId="14" fillId="30" borderId="122" xfId="0" applyFont="1" applyFill="1" applyBorder="1" applyAlignment="1" applyProtection="1">
      <alignment horizontal="center" vertical="center" wrapText="1"/>
      <protection locked="0"/>
    </xf>
    <xf numFmtId="0" fontId="62" fillId="0" borderId="71" xfId="0" applyFont="1" applyBorder="1" applyAlignment="1">
      <alignment horizontal="right" vertical="center"/>
    </xf>
    <xf numFmtId="0" fontId="62" fillId="0" borderId="60" xfId="0" applyFont="1" applyBorder="1" applyAlignment="1">
      <alignment horizontal="right" vertical="center"/>
    </xf>
    <xf numFmtId="0" fontId="0" fillId="14" borderId="28" xfId="0" applyFill="1" applyBorder="1" applyAlignment="1" applyProtection="1">
      <alignment horizontal="center" vertical="center" shrinkToFit="1"/>
      <protection locked="0"/>
    </xf>
    <xf numFmtId="0" fontId="0" fillId="14" borderId="13" xfId="0" applyFill="1" applyBorder="1" applyAlignment="1" applyProtection="1">
      <alignment horizontal="center" vertical="center" shrinkToFit="1"/>
      <protection locked="0"/>
    </xf>
    <xf numFmtId="0" fontId="0" fillId="14" borderId="58" xfId="0" applyFill="1" applyBorder="1" applyAlignment="1" applyProtection="1">
      <alignment horizontal="center" vertical="center" shrinkToFit="1"/>
      <protection locked="0"/>
    </xf>
    <xf numFmtId="0" fontId="62" fillId="0" borderId="124" xfId="0" applyFont="1" applyBorder="1" applyAlignment="1">
      <alignment horizontal="left" vertical="top" wrapText="1"/>
    </xf>
    <xf numFmtId="0" fontId="62" fillId="0" borderId="125" xfId="0" applyFont="1" applyBorder="1" applyAlignment="1">
      <alignment horizontal="left" vertical="top" wrapText="1"/>
    </xf>
    <xf numFmtId="0" fontId="62" fillId="0" borderId="120" xfId="0" applyFont="1" applyBorder="1" applyAlignment="1">
      <alignment horizontal="left" vertical="top" wrapText="1"/>
    </xf>
    <xf numFmtId="0" fontId="62" fillId="0" borderId="89" xfId="0" applyFont="1" applyBorder="1" applyAlignment="1">
      <alignment horizontal="left" vertical="top" wrapText="1"/>
    </xf>
    <xf numFmtId="0" fontId="62" fillId="0" borderId="133" xfId="0" applyFont="1" applyBorder="1" applyAlignment="1">
      <alignment horizontal="left" vertical="top" wrapText="1"/>
    </xf>
    <xf numFmtId="0" fontId="62" fillId="0" borderId="134" xfId="0" applyFont="1" applyBorder="1" applyAlignment="1">
      <alignment horizontal="left" vertical="top" wrapText="1"/>
    </xf>
    <xf numFmtId="0" fontId="15" fillId="2" borderId="229" xfId="0" applyFont="1" applyFill="1" applyBorder="1" applyAlignment="1">
      <alignment horizontal="center" vertical="center" wrapText="1"/>
    </xf>
    <xf numFmtId="0" fontId="15" fillId="2" borderId="215" xfId="0" applyFont="1" applyFill="1" applyBorder="1" applyAlignment="1">
      <alignment horizontal="center" vertical="center" wrapText="1"/>
    </xf>
    <xf numFmtId="0" fontId="15" fillId="9" borderId="51" xfId="0" applyFont="1" applyFill="1" applyBorder="1" applyAlignment="1">
      <alignment horizontal="center" vertical="center" wrapText="1"/>
    </xf>
    <xf numFmtId="0" fontId="15" fillId="9" borderId="199" xfId="0" applyFont="1" applyFill="1" applyBorder="1" applyAlignment="1">
      <alignment horizontal="center" vertical="center" wrapText="1"/>
    </xf>
    <xf numFmtId="0" fontId="15" fillId="5" borderId="28" xfId="0" applyFont="1" applyFill="1" applyBorder="1" applyAlignment="1" applyProtection="1">
      <alignment horizontal="center" vertical="center" wrapText="1"/>
      <protection locked="0"/>
    </xf>
    <xf numFmtId="0" fontId="15" fillId="5" borderId="58" xfId="0" applyFont="1" applyFill="1" applyBorder="1" applyAlignment="1" applyProtection="1">
      <alignment horizontal="center" vertical="center" wrapText="1"/>
      <protection locked="0"/>
    </xf>
    <xf numFmtId="0" fontId="13" fillId="0" borderId="14" xfId="0" applyFont="1" applyBorder="1" applyAlignment="1">
      <alignment horizontal="left" vertical="center" wrapText="1"/>
    </xf>
    <xf numFmtId="0" fontId="0" fillId="0" borderId="14" xfId="0" applyBorder="1" applyAlignment="1">
      <alignment horizontal="left" vertical="center" wrapText="1"/>
    </xf>
    <xf numFmtId="0" fontId="111" fillId="0" borderId="0" xfId="0" applyFont="1" applyAlignment="1">
      <alignment horizontal="center" vertical="center" wrapText="1"/>
    </xf>
    <xf numFmtId="0" fontId="69" fillId="49" borderId="263" xfId="9" applyFont="1" applyFill="1" applyBorder="1" applyAlignment="1">
      <alignment horizontal="center" vertical="center" wrapText="1" readingOrder="1"/>
    </xf>
    <xf numFmtId="0" fontId="69" fillId="49" borderId="273" xfId="9" applyFont="1" applyFill="1" applyBorder="1" applyAlignment="1">
      <alignment horizontal="center" vertical="center" wrapText="1" readingOrder="1"/>
    </xf>
    <xf numFmtId="0" fontId="97" fillId="49" borderId="266" xfId="9" applyFont="1" applyFill="1" applyBorder="1" applyAlignment="1">
      <alignment horizontal="center" vertical="center" wrapText="1" readingOrder="1"/>
    </xf>
    <xf numFmtId="0" fontId="97" fillId="49" borderId="244" xfId="9" applyFont="1" applyFill="1" applyBorder="1" applyAlignment="1">
      <alignment horizontal="center" vertical="center" wrapText="1" readingOrder="1"/>
    </xf>
    <xf numFmtId="0" fontId="97" fillId="49" borderId="267" xfId="9" applyFont="1" applyFill="1" applyBorder="1" applyAlignment="1">
      <alignment horizontal="center" vertical="center" wrapText="1" readingOrder="1"/>
    </xf>
    <xf numFmtId="0" fontId="97" fillId="49" borderId="243" xfId="9" applyFont="1" applyFill="1" applyBorder="1" applyAlignment="1">
      <alignment horizontal="center" vertical="center" wrapText="1" readingOrder="1"/>
    </xf>
    <xf numFmtId="0" fontId="97" fillId="49" borderId="269" xfId="9" applyFont="1" applyFill="1" applyBorder="1" applyAlignment="1">
      <alignment horizontal="center" vertical="center" wrapText="1" readingOrder="1"/>
    </xf>
    <xf numFmtId="0" fontId="97" fillId="49" borderId="0" xfId="9" applyFont="1" applyFill="1" applyAlignment="1">
      <alignment horizontal="center" vertical="center" wrapText="1" readingOrder="1"/>
    </xf>
    <xf numFmtId="0" fontId="69" fillId="49" borderId="259" xfId="9" applyFont="1" applyFill="1" applyBorder="1" applyAlignment="1">
      <alignment horizontal="center" vertical="center" wrapText="1" readingOrder="1"/>
    </xf>
    <xf numFmtId="0" fontId="69" fillId="49" borderId="258" xfId="9" applyFont="1" applyFill="1" applyBorder="1" applyAlignment="1">
      <alignment horizontal="center" vertical="center" wrapText="1" readingOrder="1"/>
    </xf>
    <xf numFmtId="0" fontId="69" fillId="49" borderId="260" xfId="9" applyFont="1" applyFill="1" applyBorder="1" applyAlignment="1">
      <alignment horizontal="center" vertical="center" wrapText="1" readingOrder="1"/>
    </xf>
    <xf numFmtId="0" fontId="69" fillId="49" borderId="249" xfId="9" applyFont="1" applyFill="1" applyBorder="1" applyAlignment="1">
      <alignment horizontal="center" vertical="center" wrapText="1" readingOrder="1"/>
    </xf>
    <xf numFmtId="0" fontId="69" fillId="49" borderId="261" xfId="9" applyFont="1" applyFill="1" applyBorder="1" applyAlignment="1">
      <alignment horizontal="center" vertical="center" wrapText="1" readingOrder="1"/>
    </xf>
    <xf numFmtId="0" fontId="69" fillId="49" borderId="257" xfId="9" applyFont="1" applyFill="1" applyBorder="1" applyAlignment="1">
      <alignment horizontal="center" vertical="center" wrapText="1" readingOrder="1"/>
    </xf>
    <xf numFmtId="0" fontId="69" fillId="49" borderId="270" xfId="9" applyFont="1" applyFill="1" applyBorder="1" applyAlignment="1">
      <alignment horizontal="center" vertical="center" wrapText="1" readingOrder="1"/>
    </xf>
    <xf numFmtId="0" fontId="69" fillId="49" borderId="262" xfId="9" applyFont="1" applyFill="1" applyBorder="1" applyAlignment="1">
      <alignment horizontal="center" vertical="center" wrapText="1" readingOrder="1"/>
    </xf>
    <xf numFmtId="0" fontId="69" fillId="49" borderId="272" xfId="9" applyFont="1" applyFill="1" applyBorder="1" applyAlignment="1">
      <alignment horizontal="center" vertical="center" wrapText="1" readingOrder="1"/>
    </xf>
    <xf numFmtId="0" fontId="69" fillId="48" borderId="239" xfId="9" applyFont="1" applyFill="1" applyBorder="1" applyAlignment="1">
      <alignment horizontal="center" vertical="center" wrapText="1" readingOrder="1"/>
    </xf>
    <xf numFmtId="0" fontId="69" fillId="48" borderId="240" xfId="9" applyFont="1" applyFill="1" applyBorder="1" applyAlignment="1">
      <alignment horizontal="center" vertical="center" wrapText="1" readingOrder="1"/>
    </xf>
    <xf numFmtId="0" fontId="69" fillId="48" borderId="233" xfId="9" applyFont="1" applyFill="1" applyBorder="1" applyAlignment="1">
      <alignment horizontal="center" vertical="center" wrapText="1" readingOrder="1"/>
    </xf>
    <xf numFmtId="0" fontId="69" fillId="48" borderId="238" xfId="9" applyFont="1" applyFill="1" applyBorder="1" applyAlignment="1">
      <alignment horizontal="center" vertical="center" wrapText="1" readingOrder="1"/>
    </xf>
    <xf numFmtId="0" fontId="69" fillId="48" borderId="234" xfId="9" applyFont="1" applyFill="1" applyBorder="1" applyAlignment="1">
      <alignment horizontal="center" vertical="center" wrapText="1" readingOrder="1"/>
    </xf>
    <xf numFmtId="0" fontId="69" fillId="49" borderId="246" xfId="9" applyFont="1" applyFill="1" applyBorder="1" applyAlignment="1">
      <alignment horizontal="center" vertical="center" wrapText="1" readingOrder="1"/>
    </xf>
    <xf numFmtId="0" fontId="69" fillId="49" borderId="264" xfId="9" applyFont="1" applyFill="1" applyBorder="1" applyAlignment="1">
      <alignment horizontal="center" vertical="center" wrapText="1" readingOrder="1"/>
    </xf>
    <xf numFmtId="0" fontId="69" fillId="49" borderId="247" xfId="9" applyFont="1" applyFill="1" applyBorder="1" applyAlignment="1">
      <alignment horizontal="center" vertical="center" wrapText="1" readingOrder="1"/>
    </xf>
    <xf numFmtId="0" fontId="69" fillId="49" borderId="265" xfId="9" applyFont="1" applyFill="1" applyBorder="1" applyAlignment="1">
      <alignment horizontal="center" vertical="center" wrapText="1" readingOrder="1"/>
    </xf>
    <xf numFmtId="0" fontId="69" fillId="49" borderId="244" xfId="9" applyFont="1" applyFill="1" applyBorder="1" applyAlignment="1">
      <alignment horizontal="center" vertical="center" wrapText="1" readingOrder="1"/>
    </xf>
    <xf numFmtId="0" fontId="69" fillId="49" borderId="248" xfId="9" applyFont="1" applyFill="1" applyBorder="1" applyAlignment="1">
      <alignment horizontal="center" vertical="center" wrapText="1" readingOrder="1"/>
    </xf>
    <xf numFmtId="0" fontId="69" fillId="49" borderId="250" xfId="9" applyFont="1" applyFill="1" applyBorder="1" applyAlignment="1">
      <alignment horizontal="center" vertical="center" wrapText="1" readingOrder="1"/>
    </xf>
    <xf numFmtId="0" fontId="69" fillId="49" borderId="251" xfId="9" applyFont="1" applyFill="1" applyBorder="1" applyAlignment="1">
      <alignment horizontal="center" vertical="center" wrapText="1" readingOrder="1"/>
    </xf>
    <xf numFmtId="0" fontId="69" fillId="49" borderId="252" xfId="9" applyFont="1" applyFill="1" applyBorder="1" applyAlignment="1">
      <alignment horizontal="center" vertical="center" wrapText="1" readingOrder="1"/>
    </xf>
    <xf numFmtId="0" fontId="69" fillId="49" borderId="253" xfId="9" applyFont="1" applyFill="1" applyBorder="1" applyAlignment="1">
      <alignment horizontal="center" vertical="center" wrapText="1" readingOrder="1"/>
    </xf>
    <xf numFmtId="0" fontId="69" fillId="48" borderId="232" xfId="9" applyFont="1" applyFill="1" applyBorder="1" applyAlignment="1">
      <alignment horizontal="center" vertical="center" wrapText="1"/>
    </xf>
    <xf numFmtId="0" fontId="69" fillId="48" borderId="245" xfId="9" applyFont="1" applyFill="1" applyBorder="1" applyAlignment="1">
      <alignment horizontal="center" vertical="center" wrapText="1"/>
    </xf>
    <xf numFmtId="184" fontId="69" fillId="48" borderId="234" xfId="9" applyNumberFormat="1" applyFont="1" applyFill="1" applyBorder="1" applyAlignment="1">
      <alignment horizontal="center" vertical="center" wrapText="1" readingOrder="1"/>
    </xf>
    <xf numFmtId="0" fontId="69" fillId="48" borderId="236" xfId="9" applyFont="1" applyFill="1" applyBorder="1" applyAlignment="1">
      <alignment horizontal="center" vertical="center" wrapText="1" readingOrder="1"/>
    </xf>
    <xf numFmtId="0" fontId="69" fillId="48" borderId="237" xfId="9" applyFont="1" applyFill="1" applyBorder="1" applyAlignment="1">
      <alignment horizontal="center" vertical="center" wrapText="1" readingOrder="1"/>
    </xf>
    <xf numFmtId="0" fontId="69" fillId="49" borderId="254" xfId="9" applyFont="1" applyFill="1" applyBorder="1" applyAlignment="1">
      <alignment horizontal="center" vertical="center" wrapText="1" readingOrder="1"/>
    </xf>
    <xf numFmtId="0" fontId="69" fillId="49" borderId="255" xfId="9" applyFont="1" applyFill="1" applyBorder="1" applyAlignment="1">
      <alignment horizontal="center" vertical="center" wrapText="1" readingOrder="1"/>
    </xf>
    <xf numFmtId="0" fontId="69" fillId="49" borderId="256" xfId="9" applyFont="1" applyFill="1" applyBorder="1" applyAlignment="1">
      <alignment horizontal="center" vertical="center" wrapText="1" readingOrder="1"/>
    </xf>
    <xf numFmtId="0" fontId="109" fillId="43" borderId="1" xfId="9" applyFont="1" applyFill="1" applyBorder="1" applyAlignment="1">
      <alignment horizontal="center" vertical="center" wrapText="1"/>
    </xf>
    <xf numFmtId="0" fontId="97" fillId="0" borderId="1" xfId="9" applyFont="1" applyBorder="1" applyAlignment="1">
      <alignment horizontal="center" vertical="center" wrapText="1" readingOrder="1"/>
    </xf>
    <xf numFmtId="0" fontId="69" fillId="0" borderId="1" xfId="9" applyFont="1" applyBorder="1" applyAlignment="1">
      <alignment horizontal="center" vertical="center" wrapText="1" readingOrder="1"/>
    </xf>
    <xf numFmtId="0" fontId="69" fillId="0" borderId="1" xfId="9" applyFont="1" applyBorder="1" applyAlignment="1">
      <alignment horizontal="center" vertical="top" wrapText="1" readingOrder="1"/>
    </xf>
    <xf numFmtId="0" fontId="69" fillId="0" borderId="1" xfId="9" applyFont="1" applyBorder="1" applyAlignment="1">
      <alignment horizontal="center" vertical="center" wrapText="1"/>
    </xf>
    <xf numFmtId="184" fontId="69" fillId="0" borderId="1" xfId="9" applyNumberFormat="1" applyFont="1" applyBorder="1" applyAlignment="1">
      <alignment horizontal="center" vertical="center" wrapText="1" readingOrder="1"/>
    </xf>
  </cellXfs>
  <cellStyles count="39">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2 2 2" xfId="35" xr:uid="{7B2CCE1E-C9AC-4D34-9546-E1EB86414E52}"/>
    <cellStyle name="標準 7 2 3" xfId="38" xr:uid="{B335AA24-314C-4409-BD78-C7463211AB39}"/>
    <cellStyle name="標準 7 3" xfId="26" xr:uid="{00000000-0005-0000-0000-000020000000}"/>
    <cellStyle name="標準 7 4" xfId="30" xr:uid="{00000000-0005-0000-0000-000021000000}"/>
    <cellStyle name="標準 7 6" xfId="37" xr:uid="{1EFD6A23-2B80-4C6B-8C40-E3F0CFF303EF}"/>
    <cellStyle name="標準 7 7" xfId="34" xr:uid="{F4E40F2B-F358-42F2-812B-0938B3F36D79}"/>
    <cellStyle name="標準 7 8" xfId="36" xr:uid="{C24C221C-1138-45F6-B05E-8C8C3CCD1C2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66FF"/>
      <color rgb="FFCCCCFF"/>
      <color rgb="FFFF99FF"/>
      <color rgb="FF6600CC"/>
      <color rgb="FFFFFFCC"/>
      <color rgb="FFCCFFFF"/>
      <color rgb="FFFF99CC"/>
      <color rgb="FFCCFF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6" t="s">
        <v>2</v>
      </c>
    </row>
    <row r="4" spans="1:140">
      <c r="A4" s="49" t="s">
        <v>3</v>
      </c>
      <c r="B4" s="56" t="s">
        <v>4</v>
      </c>
    </row>
    <row r="5" spans="1:140">
      <c r="P5" s="49" t="s">
        <v>5</v>
      </c>
      <c r="W5" s="1237" t="s">
        <v>6</v>
      </c>
      <c r="X5" s="1238"/>
      <c r="Y5" s="1238"/>
      <c r="Z5" s="1238"/>
      <c r="AA5" s="1238"/>
      <c r="AB5" s="1238"/>
      <c r="AC5" s="1239"/>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40.5">
      <c r="A7" s="57">
        <f>IFERROR(VLOOKUP($B7,$EI$7:$EJ$53,2,0),0)</f>
        <v>27</v>
      </c>
      <c r="B7" s="58" t="str">
        <f>+'様式4（全般事項）'!H17</f>
        <v>大阪府</v>
      </c>
      <c r="C7" s="58" t="str">
        <f>+'様式4（全般事項）'!H24</f>
        <v>北河内</v>
      </c>
      <c r="D7" s="58" t="str">
        <f>+'様式4（全般事項）'!H23</f>
        <v>北河内</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7.75</v>
      </c>
      <c r="X7" s="95">
        <f>'様式4（全般事項）'!R232/('様式4（全般事項）'!R231+'様式4（全般事項）'!R232)</f>
        <v>1</v>
      </c>
      <c r="Y7" s="95">
        <f>'様式4（全般事項）'!R236/('様式4（全般事項）'!R235+'様式4（全般事項）'!R236)</f>
        <v>0.84375</v>
      </c>
      <c r="Z7" s="95">
        <f>'様式4（全般事項）'!R248/('様式4（全般事項）'!R247+'様式4（全般事項）'!R248)</f>
        <v>1</v>
      </c>
      <c r="AA7" s="95">
        <f>'様式4（全般事項）'!R252/('様式4（全般事項）'!R251+'様式4（全般事項）'!R252)</f>
        <v>0.14285714285714285</v>
      </c>
      <c r="AB7" s="95">
        <f>'様式4（全般事項）'!R258/('様式4（全般事項）'!R257+'様式4（全般事項）'!R258)</f>
        <v>0.33333333333333331</v>
      </c>
      <c r="AC7" s="95">
        <f>'様式4（全般事項）'!R263/('様式4（全般事項）'!R262+'様式4（全般事項）'!R263)</f>
        <v>0</v>
      </c>
      <c r="AD7" s="93" t="e">
        <f>+IF($H$7="地域がん診療病院",'様式４(機能別)'!#REF!,'様式４(機能別)'!J35)</f>
        <v>#REF!</v>
      </c>
      <c r="AE7" s="93" t="str">
        <f>'様式４(機能別)'!J36</f>
        <v>はい</v>
      </c>
      <c r="AF7" s="93" t="e">
        <f>'様式４(機能別)'!#REF!</f>
        <v>#REF!</v>
      </c>
      <c r="AG7" s="93">
        <f>'様式４(機能別)'!J143</f>
        <v>3</v>
      </c>
      <c r="AH7" s="93">
        <f>'様式４(機能別)'!J153</f>
        <v>1</v>
      </c>
      <c r="AI7" s="93">
        <f>'様式４(機能別)'!J158</f>
        <v>0</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2</v>
      </c>
      <c r="AR7" s="93">
        <f>'様式４(機能別)'!J195</f>
        <v>31</v>
      </c>
      <c r="AS7" s="93">
        <f>別紙11相談内容!C23</f>
        <v>5</v>
      </c>
      <c r="AT7" s="93" t="str">
        <f>別紙15専門外来!D22</f>
        <v>いいえ</v>
      </c>
      <c r="AU7" s="93" t="str">
        <f>別紙15専門外来!W15</f>
        <v>はい</v>
      </c>
      <c r="AV7" s="93">
        <f>'様式4（全般事項）'!R286+'様式4（全般事項）'!R287+'様式4（全般事項）'!R288</f>
        <v>203</v>
      </c>
      <c r="AW7" s="93">
        <f>別紙5緩和外来!U22</f>
        <v>32</v>
      </c>
      <c r="AX7" s="93">
        <f>別紙7地域緩和ケア連携体制!H7</f>
        <v>0</v>
      </c>
      <c r="AY7" s="93">
        <f>別紙5緩和外来!U25</f>
        <v>147</v>
      </c>
      <c r="AZ7" s="93" t="str">
        <f>別紙10患者の特性に応じた支援!Q16</f>
        <v>いいえ</v>
      </c>
      <c r="BA7" s="93">
        <f>別紙11相談内容!C22</f>
        <v>1</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臨床試験専用の窓口がある</v>
      </c>
      <c r="BN7" s="93">
        <f>別紙11相談内容!C11+別紙11相談内容!C12</f>
        <v>519</v>
      </c>
      <c r="BO7" s="93" t="e">
        <f>別紙13相談支援センター体制!#REF!+別紙13相談支援センター体制!#REF!</f>
        <v>#REF!</v>
      </c>
      <c r="BP7" s="93" t="e">
        <f>別紙13相談支援センター体制!#REF!</f>
        <v>#REF!</v>
      </c>
      <c r="BQ7" s="93">
        <f>別紙14連携協力体制!E35</f>
        <v>1</v>
      </c>
      <c r="BR7" s="93">
        <f>別紙14連携協力体制!E30+別紙14連携協力体制!E31</f>
        <v>6</v>
      </c>
      <c r="BS7" s="93">
        <f>別紙11相談内容!F21</f>
        <v>16</v>
      </c>
      <c r="BT7" s="93">
        <f>別紙14連携協力体制!E7</f>
        <v>0</v>
      </c>
      <c r="BU7" s="93">
        <f>別紙11相談内容!C23</f>
        <v>5</v>
      </c>
      <c r="BV7" s="93" t="str">
        <f>別紙14連携協力体制!E28</f>
        <v>いいえ</v>
      </c>
      <c r="BW7" s="93" t="e">
        <f>+IF($H$7="地域がん診療病院",'様式４(機能別)'!#REF!,'様式４(機能別)'!J255)</f>
        <v>#REF!</v>
      </c>
      <c r="BX7" s="93" t="str">
        <f>別紙9インターネット環境!I7</f>
        <v>はい</v>
      </c>
      <c r="BY7" s="93" t="e">
        <f>+IF($H$7="地域がん診療病院",'様式４(機能別)'!#REF!,'様式４(機能別)'!J103)</f>
        <v>#REF!</v>
      </c>
      <c r="BZ7" s="93"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9"/>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426" customWidth="1"/>
    <col min="7" max="7" width="11.375" style="426" customWidth="1"/>
    <col min="8" max="8" width="2.5" style="426" customWidth="1"/>
    <col min="9" max="9" width="2.25" style="426" hidden="1" customWidth="1"/>
    <col min="10" max="10" width="2.25" style="426" customWidth="1"/>
    <col min="11" max="11" width="80.625" style="502" customWidth="1"/>
    <col min="12" max="16384" width="9" style="426"/>
  </cols>
  <sheetData>
    <row r="1" spans="1:11" ht="20.25" customHeight="1" thickBot="1">
      <c r="A1" s="1321" t="s">
        <v>864</v>
      </c>
      <c r="B1" s="1322"/>
      <c r="C1" s="1322"/>
      <c r="D1" s="1322"/>
      <c r="E1" s="1322"/>
      <c r="F1" s="1322"/>
      <c r="G1" s="1322"/>
      <c r="I1" s="53"/>
      <c r="J1" s="53"/>
      <c r="K1" s="160"/>
    </row>
    <row r="2" spans="1:11" ht="24.95" customHeight="1" thickTop="1" thickBot="1">
      <c r="A2" s="1324" t="s">
        <v>865</v>
      </c>
      <c r="B2" s="1324"/>
      <c r="C2" s="1324"/>
      <c r="D2" s="1324"/>
      <c r="E2" s="1324"/>
      <c r="F2" s="1324"/>
      <c r="G2" s="427" t="str">
        <f>IF(COUNTIF(I9,"×")=0,"入力済","未入力あり")</f>
        <v>入力済</v>
      </c>
      <c r="H2" s="1317"/>
      <c r="I2" s="53"/>
      <c r="J2" s="53"/>
      <c r="K2" s="332"/>
    </row>
    <row r="3" spans="1:11" ht="5.0999999999999996" customHeight="1" thickTop="1">
      <c r="H3" s="1317"/>
      <c r="I3" s="492"/>
      <c r="J3" s="492"/>
      <c r="K3" s="493"/>
    </row>
    <row r="4" spans="1:11" ht="20.100000000000001" customHeight="1">
      <c r="E4" s="494" t="s">
        <v>757</v>
      </c>
      <c r="F4" s="1325" t="str">
        <f>表紙!E2</f>
        <v>パナソニック健康保険組合　松下記念病院</v>
      </c>
      <c r="G4" s="1326"/>
      <c r="H4" s="1317"/>
      <c r="I4" s="492"/>
      <c r="J4" s="492"/>
      <c r="K4" s="495" t="s">
        <v>234</v>
      </c>
    </row>
    <row r="5" spans="1:11" ht="20.100000000000001" customHeight="1">
      <c r="E5" s="1139" t="s">
        <v>911</v>
      </c>
      <c r="F5" s="454" t="str">
        <f>別紙1未充足要件!E5</f>
        <v>令和６年９月１日時点</v>
      </c>
      <c r="G5"/>
      <c r="K5" s="161"/>
    </row>
    <row r="6" spans="1:11" ht="38.25" customHeight="1">
      <c r="A6" s="1380" t="s">
        <v>1638</v>
      </c>
      <c r="B6" s="1380"/>
      <c r="C6" s="1380"/>
      <c r="D6" s="1380"/>
      <c r="E6" s="1380"/>
      <c r="F6" s="1380"/>
      <c r="G6" s="1380"/>
      <c r="K6" s="161"/>
    </row>
    <row r="7" spans="1:11">
      <c r="A7" s="496" t="s">
        <v>866</v>
      </c>
      <c r="B7" s="497"/>
      <c r="C7" s="497"/>
      <c r="D7" s="497"/>
      <c r="E7" s="497"/>
      <c r="F7" s="497"/>
      <c r="G7" s="498"/>
      <c r="K7" s="161"/>
    </row>
    <row r="8" spans="1:11" ht="14.25" thickBot="1">
      <c r="A8" s="499" t="s">
        <v>867</v>
      </c>
      <c r="B8" s="500"/>
      <c r="C8" s="500"/>
      <c r="D8" s="500"/>
      <c r="E8" s="500"/>
      <c r="F8" s="500"/>
      <c r="G8" s="501"/>
      <c r="K8" s="161"/>
    </row>
    <row r="9" spans="1:11">
      <c r="A9" s="1371" t="s">
        <v>1850</v>
      </c>
      <c r="B9" s="1372"/>
      <c r="C9" s="1372"/>
      <c r="D9" s="1372"/>
      <c r="E9" s="1372"/>
      <c r="F9" s="1372"/>
      <c r="G9" s="1373"/>
      <c r="I9" s="8" t="str">
        <f>IF(A9&lt;&gt;"","○","×")</f>
        <v>○</v>
      </c>
      <c r="J9" s="8"/>
      <c r="K9" s="161"/>
    </row>
    <row r="10" spans="1:11">
      <c r="A10" s="1374"/>
      <c r="B10" s="1375"/>
      <c r="C10" s="1375"/>
      <c r="D10" s="1375"/>
      <c r="E10" s="1375"/>
      <c r="F10" s="1375"/>
      <c r="G10" s="1376"/>
      <c r="K10" s="161"/>
    </row>
    <row r="11" spans="1:11">
      <c r="A11" s="1374"/>
      <c r="B11" s="1375"/>
      <c r="C11" s="1375"/>
      <c r="D11" s="1375"/>
      <c r="E11" s="1375"/>
      <c r="F11" s="1375"/>
      <c r="G11" s="1376"/>
      <c r="K11" s="161"/>
    </row>
    <row r="12" spans="1:11">
      <c r="A12" s="1374"/>
      <c r="B12" s="1375"/>
      <c r="C12" s="1375"/>
      <c r="D12" s="1375"/>
      <c r="E12" s="1375"/>
      <c r="F12" s="1375"/>
      <c r="G12" s="1376"/>
      <c r="K12" s="161"/>
    </row>
    <row r="13" spans="1:11">
      <c r="A13" s="1374"/>
      <c r="B13" s="1375"/>
      <c r="C13" s="1375"/>
      <c r="D13" s="1375"/>
      <c r="E13" s="1375"/>
      <c r="F13" s="1375"/>
      <c r="G13" s="1376"/>
      <c r="K13" s="161"/>
    </row>
    <row r="14" spans="1:11">
      <c r="A14" s="1374"/>
      <c r="B14" s="1375"/>
      <c r="C14" s="1375"/>
      <c r="D14" s="1375"/>
      <c r="E14" s="1375"/>
      <c r="F14" s="1375"/>
      <c r="G14" s="1376"/>
      <c r="K14" s="161"/>
    </row>
    <row r="15" spans="1:11">
      <c r="A15" s="1374"/>
      <c r="B15" s="1375"/>
      <c r="C15" s="1375"/>
      <c r="D15" s="1375"/>
      <c r="E15" s="1375"/>
      <c r="F15" s="1375"/>
      <c r="G15" s="1376"/>
      <c r="K15" s="161"/>
    </row>
    <row r="16" spans="1:11">
      <c r="A16" s="1374"/>
      <c r="B16" s="1375"/>
      <c r="C16" s="1375"/>
      <c r="D16" s="1375"/>
      <c r="E16" s="1375"/>
      <c r="F16" s="1375"/>
      <c r="G16" s="1376"/>
      <c r="K16" s="161"/>
    </row>
    <row r="17" spans="1:11" ht="14.25" thickBot="1">
      <c r="A17" s="1377"/>
      <c r="B17" s="1378"/>
      <c r="C17" s="1378"/>
      <c r="D17" s="1378"/>
      <c r="E17" s="1378"/>
      <c r="F17" s="1378"/>
      <c r="G17" s="1379"/>
      <c r="K17" s="162"/>
    </row>
  </sheetData>
  <sheetProtection selectLockedCells="1"/>
  <mergeCells count="6">
    <mergeCell ref="A9:G17"/>
    <mergeCell ref="A1:G1"/>
    <mergeCell ref="A2:F2"/>
    <mergeCell ref="H2:H4"/>
    <mergeCell ref="F4:G4"/>
    <mergeCell ref="A6:G6"/>
  </mergeCells>
  <phoneticPr fontId="9"/>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90" zoomScaleNormal="100" zoomScaleSheetLayoutView="90" workbookViewId="0">
      <selection activeCell="AB23" sqref="AB23"/>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6" customWidth="1"/>
    <col min="29" max="30" width="0" style="8" hidden="1" customWidth="1"/>
    <col min="31" max="16384" width="9" style="8"/>
  </cols>
  <sheetData>
    <row r="1" spans="1:28" ht="15.95" customHeight="1" thickBot="1">
      <c r="A1" s="1322" t="s">
        <v>868</v>
      </c>
      <c r="B1" s="1322"/>
      <c r="C1" s="1322"/>
      <c r="D1" s="1322"/>
      <c r="E1" s="1322"/>
      <c r="F1" s="1322"/>
      <c r="G1" s="1322"/>
      <c r="H1" s="1322"/>
      <c r="I1" s="1322"/>
      <c r="J1" s="1322"/>
      <c r="K1" s="1322"/>
      <c r="L1" s="1322"/>
      <c r="M1" s="1322"/>
      <c r="N1" s="1322"/>
      <c r="O1" s="1322"/>
      <c r="P1" s="1322"/>
      <c r="Q1" s="1322"/>
      <c r="R1" s="1322"/>
      <c r="S1" s="1322"/>
      <c r="T1" s="1322"/>
      <c r="U1" s="1322"/>
      <c r="V1" s="1322"/>
      <c r="W1" s="1322"/>
      <c r="X1" s="1322"/>
      <c r="Y1" s="53"/>
      <c r="Z1" s="53"/>
      <c r="AA1" s="53"/>
    </row>
    <row r="2" spans="1:28" ht="24.95" customHeight="1" thickTop="1" thickBot="1">
      <c r="A2" s="1381" t="s">
        <v>865</v>
      </c>
      <c r="B2" s="1381"/>
      <c r="C2" s="1381"/>
      <c r="D2" s="1381"/>
      <c r="E2" s="1381"/>
      <c r="F2" s="1381"/>
      <c r="G2" s="1381"/>
      <c r="H2" s="1381"/>
      <c r="I2" s="1381"/>
      <c r="J2" s="1381"/>
      <c r="K2" s="1381"/>
      <c r="L2" s="1381"/>
      <c r="M2" s="1381"/>
      <c r="N2" s="1381"/>
      <c r="O2" s="1381"/>
      <c r="P2" s="1381"/>
      <c r="Q2" s="1381"/>
      <c r="R2" s="1381"/>
      <c r="S2" s="1381"/>
      <c r="T2" s="1381"/>
      <c r="U2" s="1381"/>
      <c r="V2" s="1381"/>
      <c r="W2" s="1382"/>
      <c r="X2" s="427" t="str">
        <f>IF(COUNTIF(Z:Z,"×")=0,"入力済","未入力あり")</f>
        <v>入力済</v>
      </c>
      <c r="Y2" s="53"/>
      <c r="Z2" s="53"/>
      <c r="AA2" s="53"/>
    </row>
    <row r="3" spans="1:28"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503"/>
      <c r="X3" s="477"/>
    </row>
    <row r="4" spans="1:28" ht="20.25" customHeight="1">
      <c r="A4" s="477"/>
      <c r="B4" s="477"/>
      <c r="C4" s="477"/>
      <c r="D4" s="477"/>
      <c r="E4" s="430" t="s">
        <v>757</v>
      </c>
      <c r="F4" s="1383" t="str">
        <f>表紙!E2</f>
        <v>パナソニック健康保険組合　松下記念病院</v>
      </c>
      <c r="G4" s="1383"/>
      <c r="H4" s="1383"/>
      <c r="I4" s="1383"/>
      <c r="J4" s="1383"/>
      <c r="K4" s="1383"/>
      <c r="L4" s="1383"/>
      <c r="M4" s="1384"/>
      <c r="N4" s="1384"/>
      <c r="O4" s="1384"/>
      <c r="P4" s="1384"/>
      <c r="Q4" s="1384"/>
      <c r="R4" s="1384"/>
      <c r="S4" s="1384"/>
      <c r="T4" s="1384"/>
      <c r="U4" s="1384"/>
      <c r="V4" s="1384"/>
      <c r="W4" s="1384"/>
      <c r="X4" s="1384"/>
      <c r="Y4" s="53"/>
      <c r="Z4" s="53"/>
      <c r="AA4" s="53"/>
    </row>
    <row r="5" spans="1:28" ht="20.100000000000001" customHeight="1" thickBot="1">
      <c r="A5" s="477"/>
      <c r="B5" s="477"/>
      <c r="C5" s="477"/>
      <c r="D5" s="477"/>
      <c r="E5" s="1139" t="s">
        <v>911</v>
      </c>
      <c r="F5" t="str">
        <f>別紙1未充足要件!E5</f>
        <v>令和６年９月１日時点</v>
      </c>
      <c r="G5"/>
      <c r="H5"/>
      <c r="I5"/>
      <c r="J5"/>
      <c r="K5"/>
      <c r="L5"/>
      <c r="M5"/>
      <c r="N5"/>
      <c r="O5" s="426"/>
      <c r="P5" s="426"/>
      <c r="Q5" s="426"/>
      <c r="R5" s="426"/>
      <c r="S5" s="426"/>
      <c r="T5" s="426"/>
      <c r="U5" s="426"/>
      <c r="V5" s="426"/>
      <c r="W5" s="426"/>
      <c r="X5" s="426"/>
      <c r="Y5" s="504"/>
      <c r="Z5" s="504"/>
      <c r="AA5" s="504"/>
      <c r="AB5" s="177" t="s">
        <v>234</v>
      </c>
    </row>
    <row r="6" spans="1:28" ht="27" customHeight="1" thickBot="1">
      <c r="A6" s="505">
        <v>1</v>
      </c>
      <c r="B6" s="506" t="s">
        <v>869</v>
      </c>
      <c r="C6" s="507"/>
      <c r="D6" s="507"/>
      <c r="E6" s="508"/>
      <c r="F6" s="508"/>
      <c r="G6" s="508"/>
      <c r="H6" s="508"/>
      <c r="I6" s="508"/>
      <c r="J6" s="508"/>
      <c r="K6" s="508"/>
      <c r="L6" s="508"/>
      <c r="M6" s="508"/>
      <c r="N6" s="508"/>
      <c r="O6" s="508"/>
      <c r="P6" s="508"/>
      <c r="Q6" s="508"/>
      <c r="R6" s="508"/>
      <c r="S6" s="508"/>
      <c r="T6" s="508"/>
      <c r="U6" s="508"/>
      <c r="V6" s="508"/>
      <c r="W6" s="508"/>
      <c r="X6" s="36" t="s">
        <v>1808</v>
      </c>
      <c r="Z6" s="8" t="str">
        <f>IF(X6&lt;&gt;"","○","×")</f>
        <v>○</v>
      </c>
      <c r="AB6" s="163"/>
    </row>
    <row r="7" spans="1:28" ht="27" customHeight="1" thickBot="1">
      <c r="A7" s="505">
        <v>2</v>
      </c>
      <c r="B7" s="1385" t="s">
        <v>870</v>
      </c>
      <c r="C7" s="1386"/>
      <c r="D7" s="1386"/>
      <c r="E7" s="1315" t="s">
        <v>1851</v>
      </c>
      <c r="F7" s="1387"/>
      <c r="G7" s="1387"/>
      <c r="H7" s="1387"/>
      <c r="I7" s="1387"/>
      <c r="J7" s="1387"/>
      <c r="K7" s="1387"/>
      <c r="L7" s="1387"/>
      <c r="M7" s="1387"/>
      <c r="N7" s="1387"/>
      <c r="O7" s="1387"/>
      <c r="P7" s="1387"/>
      <c r="Q7" s="1387"/>
      <c r="R7" s="1387"/>
      <c r="S7" s="1387"/>
      <c r="T7" s="1387"/>
      <c r="U7" s="1387"/>
      <c r="V7" s="1387"/>
      <c r="W7" s="1387"/>
      <c r="X7" s="1316"/>
      <c r="Z7" s="8" t="str">
        <f>IF(AND($X$6="はい",E7=""),"×","○")</f>
        <v>○</v>
      </c>
      <c r="AB7" s="74"/>
    </row>
    <row r="8" spans="1:28" ht="27" customHeight="1" thickBot="1">
      <c r="A8" s="505">
        <v>3</v>
      </c>
      <c r="B8" s="1388" t="s">
        <v>871</v>
      </c>
      <c r="C8" s="1389"/>
      <c r="D8" s="1389"/>
      <c r="E8" s="1315" t="s">
        <v>1852</v>
      </c>
      <c r="F8" s="1387"/>
      <c r="G8" s="1387"/>
      <c r="H8" s="1387"/>
      <c r="I8" s="1387"/>
      <c r="J8" s="1387"/>
      <c r="K8" s="1387"/>
      <c r="L8" s="1387"/>
      <c r="M8" s="1387"/>
      <c r="N8" s="1387"/>
      <c r="O8" s="1387"/>
      <c r="P8" s="1387"/>
      <c r="Q8" s="1387"/>
      <c r="R8" s="1387"/>
      <c r="S8" s="1387"/>
      <c r="T8" s="1387"/>
      <c r="U8" s="1387"/>
      <c r="V8" s="1387"/>
      <c r="W8" s="1387"/>
      <c r="X8" s="1316"/>
      <c r="Z8" s="8" t="str">
        <f>IF(AND($X$6="はい",E8=""),"×","○")</f>
        <v>○</v>
      </c>
      <c r="AB8" s="74"/>
    </row>
    <row r="9" spans="1:28" ht="27" customHeight="1" thickBot="1">
      <c r="A9" s="505">
        <v>4</v>
      </c>
      <c r="B9" s="1390" t="s">
        <v>872</v>
      </c>
      <c r="C9" s="1391"/>
      <c r="D9" s="1391"/>
      <c r="E9" s="1315" t="s">
        <v>1853</v>
      </c>
      <c r="F9" s="1387"/>
      <c r="G9" s="1387"/>
      <c r="H9" s="1387"/>
      <c r="I9" s="1387"/>
      <c r="J9" s="1387"/>
      <c r="K9" s="1387"/>
      <c r="L9" s="1387"/>
      <c r="M9" s="1387"/>
      <c r="N9" s="1387"/>
      <c r="O9" s="1387"/>
      <c r="P9" s="1387"/>
      <c r="Q9" s="1387"/>
      <c r="R9" s="1387"/>
      <c r="S9" s="1387"/>
      <c r="T9" s="1387"/>
      <c r="U9" s="1387"/>
      <c r="V9" s="1387"/>
      <c r="W9" s="1387"/>
      <c r="X9" s="1316"/>
      <c r="Z9" s="8" t="str">
        <f>IF(AND($X$6="はい",E9=""),"×","○")</f>
        <v>○</v>
      </c>
      <c r="AB9" s="74"/>
    </row>
    <row r="10" spans="1:28" ht="54" customHeight="1" thickBot="1">
      <c r="A10" s="505">
        <v>5</v>
      </c>
      <c r="B10" s="1392" t="s">
        <v>873</v>
      </c>
      <c r="C10" s="1393"/>
      <c r="D10" s="1393"/>
      <c r="E10" s="1315" t="s">
        <v>1854</v>
      </c>
      <c r="F10" s="1387"/>
      <c r="G10" s="1387"/>
      <c r="H10" s="1387"/>
      <c r="I10" s="1387"/>
      <c r="J10" s="1387"/>
      <c r="K10" s="1387"/>
      <c r="L10" s="1387"/>
      <c r="M10" s="1387"/>
      <c r="N10" s="1387"/>
      <c r="O10" s="1387"/>
      <c r="P10" s="1387"/>
      <c r="Q10" s="1387"/>
      <c r="R10" s="1387"/>
      <c r="S10" s="1387"/>
      <c r="T10" s="1387"/>
      <c r="U10" s="1387"/>
      <c r="V10" s="1387"/>
      <c r="W10" s="1387"/>
      <c r="X10" s="1316"/>
      <c r="Z10" s="8" t="str">
        <f>IF(AND($X$6="はい",E10=""),"×","○")</f>
        <v>○</v>
      </c>
      <c r="AB10" s="74"/>
    </row>
    <row r="11" spans="1:28" ht="26.25" customHeight="1" thickBot="1">
      <c r="A11" s="1394">
        <v>6</v>
      </c>
      <c r="B11" s="1396" t="s">
        <v>874</v>
      </c>
      <c r="C11" s="1397"/>
      <c r="D11" s="509" t="s">
        <v>875</v>
      </c>
      <c r="E11" s="1400" t="s">
        <v>1855</v>
      </c>
      <c r="F11" s="1401"/>
      <c r="G11" s="1401"/>
      <c r="H11" s="1401"/>
      <c r="I11" s="1401"/>
      <c r="J11" s="1401"/>
      <c r="K11" s="1401"/>
      <c r="L11" s="1401"/>
      <c r="M11" s="1401"/>
      <c r="N11" s="1401"/>
      <c r="O11" s="1401"/>
      <c r="P11" s="1401"/>
      <c r="Q11" s="1401"/>
      <c r="R11" s="1401"/>
      <c r="S11" s="1401"/>
      <c r="T11" s="1401"/>
      <c r="U11" s="1401"/>
      <c r="V11" s="1401"/>
      <c r="W11" s="1401"/>
      <c r="X11" s="1402"/>
      <c r="AB11" s="74"/>
    </row>
    <row r="12" spans="1:28" ht="54" customHeight="1" thickBot="1">
      <c r="A12" s="1395"/>
      <c r="B12" s="1398"/>
      <c r="C12" s="1399"/>
      <c r="D12" s="510" t="s">
        <v>876</v>
      </c>
      <c r="E12" s="1315" t="s">
        <v>1856</v>
      </c>
      <c r="F12" s="1387"/>
      <c r="G12" s="1387"/>
      <c r="H12" s="1387"/>
      <c r="I12" s="1387"/>
      <c r="J12" s="1387"/>
      <c r="K12" s="1387"/>
      <c r="L12" s="1387"/>
      <c r="M12" s="1387"/>
      <c r="N12" s="1387"/>
      <c r="O12" s="1387"/>
      <c r="P12" s="1387"/>
      <c r="Q12" s="1387"/>
      <c r="R12" s="1387"/>
      <c r="S12" s="1387"/>
      <c r="T12" s="1387"/>
      <c r="U12" s="1387"/>
      <c r="V12" s="1387"/>
      <c r="W12" s="1387"/>
      <c r="X12" s="1316"/>
      <c r="AB12" s="74"/>
    </row>
    <row r="13" spans="1:28" ht="24" customHeight="1" thickBot="1">
      <c r="A13" s="505">
        <v>7</v>
      </c>
      <c r="B13" s="511" t="s">
        <v>877</v>
      </c>
      <c r="C13" s="512"/>
      <c r="D13" s="512"/>
      <c r="E13" s="513"/>
      <c r="F13" s="513"/>
      <c r="G13" s="513"/>
      <c r="H13" s="513"/>
      <c r="I13" s="513"/>
      <c r="J13" s="513"/>
      <c r="K13" s="513"/>
      <c r="L13" s="513"/>
      <c r="M13" s="513"/>
      <c r="N13" s="513"/>
      <c r="O13" s="513"/>
      <c r="P13" s="513"/>
      <c r="Q13" s="513"/>
      <c r="R13" s="513"/>
      <c r="S13" s="513"/>
      <c r="T13" s="513"/>
      <c r="U13" s="513"/>
      <c r="V13" s="513"/>
      <c r="W13" s="513"/>
      <c r="X13" s="36" t="s">
        <v>1808</v>
      </c>
      <c r="Z13" s="8" t="str">
        <f>IF(AND($X$6="はい",X13=""),"×","○")</f>
        <v>○</v>
      </c>
      <c r="AB13" s="74"/>
    </row>
    <row r="14" spans="1:28" ht="24" customHeight="1" thickBot="1">
      <c r="A14" s="1403">
        <v>8</v>
      </c>
      <c r="B14" s="1406" t="s">
        <v>878</v>
      </c>
      <c r="C14" s="1407"/>
      <c r="D14" s="1407"/>
      <c r="E14" s="1408"/>
      <c r="F14" s="1408"/>
      <c r="G14" s="1408"/>
      <c r="H14" s="1408"/>
      <c r="I14" s="1408"/>
      <c r="J14" s="1408"/>
      <c r="K14" s="1408"/>
      <c r="L14" s="1408"/>
      <c r="M14" s="1408"/>
      <c r="N14" s="1408"/>
      <c r="O14" s="1408"/>
      <c r="P14" s="1408"/>
      <c r="Q14" s="1408"/>
      <c r="R14" s="1408"/>
      <c r="S14" s="1408"/>
      <c r="T14" s="1408"/>
      <c r="U14" s="1408"/>
      <c r="V14" s="1408"/>
      <c r="W14" s="1408"/>
      <c r="X14" s="37" t="s">
        <v>1808</v>
      </c>
      <c r="Z14" s="8" t="str">
        <f>IF(AND($X$6="はい",X14=""),"×","○")</f>
        <v>○</v>
      </c>
      <c r="AB14" s="74"/>
    </row>
    <row r="15" spans="1:28" ht="24" customHeight="1" thickBot="1">
      <c r="A15" s="1404"/>
      <c r="B15" s="1409" t="s">
        <v>879</v>
      </c>
      <c r="C15" s="1410"/>
      <c r="D15" s="1410"/>
      <c r="E15" s="1315" t="s">
        <v>1857</v>
      </c>
      <c r="F15" s="1387"/>
      <c r="G15" s="1387"/>
      <c r="H15" s="1387"/>
      <c r="I15" s="1387"/>
      <c r="J15" s="1387"/>
      <c r="K15" s="1387"/>
      <c r="L15" s="1387"/>
      <c r="M15" s="1387"/>
      <c r="N15" s="1387"/>
      <c r="O15" s="1387"/>
      <c r="P15" s="1387"/>
      <c r="Q15" s="1387"/>
      <c r="R15" s="1387"/>
      <c r="S15" s="1387"/>
      <c r="T15" s="1387"/>
      <c r="U15" s="1387"/>
      <c r="V15" s="1387"/>
      <c r="W15" s="1387"/>
      <c r="X15" s="1316"/>
      <c r="Z15" s="8" t="str">
        <f>IF(AND($X$14="はい",E15=""),"×","○")</f>
        <v>○</v>
      </c>
      <c r="AB15" s="74"/>
    </row>
    <row r="16" spans="1:28" ht="24" customHeight="1" thickBot="1">
      <c r="A16" s="1405"/>
      <c r="B16" s="1411" t="s">
        <v>880</v>
      </c>
      <c r="C16" s="1412"/>
      <c r="D16" s="1413"/>
      <c r="E16" s="1414" t="s">
        <v>1858</v>
      </c>
      <c r="F16" s="1415"/>
      <c r="G16" s="1415"/>
      <c r="H16" s="1415"/>
      <c r="I16" s="1415"/>
      <c r="J16" s="1415"/>
      <c r="K16" s="1415"/>
      <c r="L16" s="1415"/>
      <c r="M16" s="1415"/>
      <c r="N16" s="1416"/>
      <c r="O16" s="1417" t="s">
        <v>881</v>
      </c>
      <c r="P16" s="1418"/>
      <c r="Q16" s="1419"/>
      <c r="R16" s="1420" t="s">
        <v>1859</v>
      </c>
      <c r="S16" s="1421"/>
      <c r="T16" s="1421"/>
      <c r="U16" s="1421"/>
      <c r="V16" s="1421"/>
      <c r="W16" s="1421"/>
      <c r="X16" s="1422"/>
      <c r="Z16" s="8" t="str">
        <f>IF(AND($X$14="はい",E16=""),"×","○")</f>
        <v>○</v>
      </c>
      <c r="AB16" s="74"/>
    </row>
    <row r="17" spans="1:30" ht="24" customHeight="1" thickBot="1">
      <c r="A17" s="1403">
        <v>9</v>
      </c>
      <c r="B17" s="514" t="s">
        <v>882</v>
      </c>
      <c r="C17" s="515"/>
      <c r="D17" s="515"/>
      <c r="E17" s="516"/>
      <c r="F17" s="516"/>
      <c r="G17" s="516"/>
      <c r="H17" s="516"/>
      <c r="I17" s="516"/>
      <c r="J17" s="516"/>
      <c r="K17" s="516"/>
      <c r="L17" s="516"/>
      <c r="M17" s="516"/>
      <c r="N17" s="516"/>
      <c r="O17" s="516"/>
      <c r="P17" s="516"/>
      <c r="Q17" s="516"/>
      <c r="R17" s="516"/>
      <c r="S17" s="516"/>
      <c r="T17" s="516"/>
      <c r="U17" s="516"/>
      <c r="V17" s="516"/>
      <c r="W17" s="516"/>
      <c r="X17" s="36" t="s">
        <v>1808</v>
      </c>
      <c r="Z17" s="8" t="str">
        <f>IF(AND($X$6="はい",X17=""),"×","○")</f>
        <v>○</v>
      </c>
      <c r="AB17" s="74"/>
    </row>
    <row r="18" spans="1:30" ht="24" customHeight="1" thickBot="1">
      <c r="A18" s="1404"/>
      <c r="B18" s="1409" t="s">
        <v>879</v>
      </c>
      <c r="C18" s="1410"/>
      <c r="D18" s="1423"/>
      <c r="E18" s="1315" t="s">
        <v>1860</v>
      </c>
      <c r="F18" s="1387"/>
      <c r="G18" s="1387"/>
      <c r="H18" s="1387"/>
      <c r="I18" s="1387"/>
      <c r="J18" s="1387"/>
      <c r="K18" s="1387"/>
      <c r="L18" s="1387"/>
      <c r="M18" s="1387"/>
      <c r="N18" s="1387"/>
      <c r="O18" s="1387"/>
      <c r="P18" s="1387"/>
      <c r="Q18" s="1387"/>
      <c r="R18" s="1387"/>
      <c r="S18" s="1387"/>
      <c r="T18" s="1387"/>
      <c r="U18" s="1387"/>
      <c r="V18" s="1387"/>
      <c r="W18" s="1387"/>
      <c r="X18" s="1316"/>
      <c r="Z18" s="8" t="str">
        <f>IF(AND($X$17="はい",E18=""),"×","○")</f>
        <v>○</v>
      </c>
      <c r="AB18" s="74"/>
    </row>
    <row r="19" spans="1:30" ht="24" customHeight="1" thickBot="1">
      <c r="A19" s="1404"/>
      <c r="B19" s="1411" t="s">
        <v>880</v>
      </c>
      <c r="C19" s="1412"/>
      <c r="D19" s="1413"/>
      <c r="E19" s="1424" t="s">
        <v>1861</v>
      </c>
      <c r="F19" s="1425"/>
      <c r="G19" s="1425"/>
      <c r="H19" s="1425"/>
      <c r="I19" s="1425"/>
      <c r="J19" s="1425"/>
      <c r="K19" s="1425"/>
      <c r="L19" s="1425"/>
      <c r="M19" s="1425"/>
      <c r="N19" s="1426"/>
      <c r="O19" s="1427" t="s">
        <v>881</v>
      </c>
      <c r="P19" s="1427"/>
      <c r="Q19" s="1427"/>
      <c r="R19" s="1420" t="s">
        <v>1862</v>
      </c>
      <c r="S19" s="1421"/>
      <c r="T19" s="1421"/>
      <c r="U19" s="1421"/>
      <c r="V19" s="1421"/>
      <c r="W19" s="1421"/>
      <c r="X19" s="1422"/>
      <c r="Z19" s="8" t="str">
        <f>IF(AND($X$17="はい",E19=""),"×","○")</f>
        <v>○</v>
      </c>
      <c r="AB19" s="74"/>
    </row>
    <row r="20" spans="1:30" ht="24" customHeight="1" thickBot="1">
      <c r="A20" s="1405"/>
      <c r="B20" s="1428" t="s">
        <v>883</v>
      </c>
      <c r="C20" s="1429"/>
      <c r="D20" s="1430"/>
      <c r="E20" s="1315" t="s">
        <v>1863</v>
      </c>
      <c r="F20" s="1387"/>
      <c r="G20" s="1387"/>
      <c r="H20" s="1387"/>
      <c r="I20" s="1387"/>
      <c r="J20" s="1387"/>
      <c r="K20" s="1387"/>
      <c r="L20" s="1387"/>
      <c r="M20" s="1387"/>
      <c r="N20" s="1387"/>
      <c r="O20" s="1387"/>
      <c r="P20" s="1387"/>
      <c r="Q20" s="1387"/>
      <c r="R20" s="1387"/>
      <c r="S20" s="1387"/>
      <c r="T20" s="1387"/>
      <c r="U20" s="1387"/>
      <c r="V20" s="1387"/>
      <c r="W20" s="1387"/>
      <c r="X20" s="1316"/>
      <c r="AB20" s="74"/>
    </row>
    <row r="21" spans="1:30" ht="24" customHeight="1">
      <c r="A21" s="1431">
        <v>10</v>
      </c>
      <c r="B21" s="517"/>
      <c r="C21" s="518"/>
      <c r="D21" s="519"/>
      <c r="E21" s="520" t="s">
        <v>884</v>
      </c>
      <c r="F21" s="521"/>
      <c r="G21" s="521"/>
      <c r="H21" s="521"/>
      <c r="I21" s="521"/>
      <c r="J21" s="521"/>
      <c r="K21" s="521"/>
      <c r="L21" s="521"/>
      <c r="M21" s="521"/>
      <c r="N21" s="521"/>
      <c r="O21" s="521"/>
      <c r="P21" s="521"/>
      <c r="Q21" s="521"/>
      <c r="R21" s="521"/>
      <c r="S21" s="521"/>
      <c r="T21" s="521"/>
      <c r="U21" s="521"/>
      <c r="V21" s="521"/>
      <c r="W21" s="521"/>
      <c r="X21" s="522"/>
      <c r="AB21" s="74"/>
    </row>
    <row r="22" spans="1:30" ht="24" customHeight="1" thickBot="1">
      <c r="A22" s="1432"/>
      <c r="B22" s="523"/>
      <c r="C22" s="524"/>
      <c r="D22" s="525"/>
      <c r="E22" s="526" t="s">
        <v>885</v>
      </c>
      <c r="F22" s="527"/>
      <c r="G22" s="527"/>
      <c r="H22" s="527"/>
      <c r="I22" s="527"/>
      <c r="J22" s="527"/>
      <c r="K22" s="527"/>
      <c r="L22" s="527"/>
      <c r="M22" s="527"/>
      <c r="N22" s="527"/>
      <c r="O22" s="527"/>
      <c r="P22" s="527"/>
      <c r="Q22" s="527"/>
      <c r="R22" s="527"/>
      <c r="S22" s="527"/>
      <c r="T22" s="528"/>
      <c r="U22" s="1434">
        <v>32</v>
      </c>
      <c r="V22" s="1435"/>
      <c r="W22" s="1436"/>
      <c r="X22" s="529" t="s">
        <v>379</v>
      </c>
      <c r="Y22" s="530"/>
      <c r="Z22" s="8" t="str">
        <f>IF(AND($X$6="はい",U22=""),"×","○")</f>
        <v>○</v>
      </c>
      <c r="AB22" s="74"/>
      <c r="AC22" s="531">
        <v>0</v>
      </c>
      <c r="AD22" s="531">
        <v>330</v>
      </c>
    </row>
    <row r="23" spans="1:30" ht="24" customHeight="1" thickBot="1">
      <c r="A23" s="1432"/>
      <c r="B23" s="523" t="s">
        <v>205</v>
      </c>
      <c r="C23" s="524"/>
      <c r="D23" s="525"/>
      <c r="E23" s="532" t="s">
        <v>886</v>
      </c>
      <c r="F23" s="533"/>
      <c r="G23" s="533"/>
      <c r="H23" s="533"/>
      <c r="I23" s="533"/>
      <c r="J23" s="533"/>
      <c r="K23" s="533"/>
      <c r="L23" s="533"/>
      <c r="M23" s="533"/>
      <c r="N23" s="533"/>
      <c r="O23" s="533"/>
      <c r="P23" s="533"/>
      <c r="Q23" s="533"/>
      <c r="R23" s="533"/>
      <c r="S23" s="533"/>
      <c r="T23" s="534"/>
      <c r="U23" s="1434">
        <v>32</v>
      </c>
      <c r="V23" s="1435"/>
      <c r="W23" s="1436"/>
      <c r="X23" s="529" t="s">
        <v>379</v>
      </c>
      <c r="Z23" s="8" t="str">
        <f>IF(AND($X$6="はい",U23=""),"×","○")</f>
        <v>○</v>
      </c>
      <c r="AB23" s="74"/>
      <c r="AC23" s="531">
        <v>0</v>
      </c>
      <c r="AD23" s="531">
        <v>2400</v>
      </c>
    </row>
    <row r="24" spans="1:30" ht="24" customHeight="1">
      <c r="A24" s="1432"/>
      <c r="B24" s="535" t="s">
        <v>1789</v>
      </c>
      <c r="C24" s="524"/>
      <c r="D24" s="525"/>
      <c r="E24" s="520" t="s">
        <v>887</v>
      </c>
      <c r="F24" s="521"/>
      <c r="G24" s="521"/>
      <c r="H24" s="521"/>
      <c r="I24" s="521"/>
      <c r="J24" s="521"/>
      <c r="K24" s="521"/>
      <c r="L24" s="521"/>
      <c r="M24" s="521"/>
      <c r="N24" s="521"/>
      <c r="O24" s="521"/>
      <c r="P24" s="521"/>
      <c r="Q24" s="521"/>
      <c r="R24" s="521"/>
      <c r="S24" s="521"/>
      <c r="T24" s="521"/>
      <c r="U24" s="521"/>
      <c r="V24" s="521"/>
      <c r="W24" s="521"/>
      <c r="X24" s="536"/>
      <c r="AB24" s="74"/>
    </row>
    <row r="25" spans="1:30" ht="24" customHeight="1" thickBot="1">
      <c r="A25" s="1432"/>
      <c r="B25" s="523"/>
      <c r="C25" s="524"/>
      <c r="D25" s="525"/>
      <c r="E25" s="537" t="s">
        <v>888</v>
      </c>
      <c r="F25" s="538"/>
      <c r="G25" s="538"/>
      <c r="H25" s="538"/>
      <c r="I25" s="538"/>
      <c r="J25" s="538"/>
      <c r="K25" s="538"/>
      <c r="L25" s="538"/>
      <c r="M25" s="538"/>
      <c r="N25" s="538"/>
      <c r="O25" s="538"/>
      <c r="P25" s="538"/>
      <c r="Q25" s="538"/>
      <c r="R25" s="538"/>
      <c r="S25" s="538"/>
      <c r="T25" s="539"/>
      <c r="U25" s="1434">
        <v>147</v>
      </c>
      <c r="V25" s="1435"/>
      <c r="W25" s="1436"/>
      <c r="X25" s="529" t="s">
        <v>379</v>
      </c>
      <c r="Z25" s="8" t="str">
        <f t="shared" ref="Z25:Z26" si="0">IF(AND($X$6="はい",U25=""),"×","○")</f>
        <v>○</v>
      </c>
      <c r="AB25" s="74"/>
      <c r="AC25" s="531">
        <v>0</v>
      </c>
      <c r="AD25" s="540">
        <v>500</v>
      </c>
    </row>
    <row r="26" spans="1:30" ht="24" customHeight="1" thickBot="1">
      <c r="A26" s="1433"/>
      <c r="B26" s="541"/>
      <c r="C26" s="542"/>
      <c r="D26" s="543"/>
      <c r="E26" s="532" t="s">
        <v>889</v>
      </c>
      <c r="F26" s="544"/>
      <c r="G26" s="544"/>
      <c r="H26" s="544"/>
      <c r="I26" s="544"/>
      <c r="J26" s="544"/>
      <c r="K26" s="544"/>
      <c r="L26" s="544"/>
      <c r="M26" s="544"/>
      <c r="N26" s="544"/>
      <c r="O26" s="544"/>
      <c r="P26" s="544"/>
      <c r="Q26" s="544"/>
      <c r="R26" s="544"/>
      <c r="S26" s="544"/>
      <c r="T26" s="545"/>
      <c r="U26" s="1434">
        <v>102</v>
      </c>
      <c r="V26" s="1435"/>
      <c r="W26" s="1436"/>
      <c r="X26" s="546" t="s">
        <v>379</v>
      </c>
      <c r="Z26" s="8" t="str">
        <f t="shared" si="0"/>
        <v>○</v>
      </c>
      <c r="AB26" s="151"/>
      <c r="AC26" s="531">
        <v>0</v>
      </c>
      <c r="AD26" s="540">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9"/>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AC28" sqref="AC28"/>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10" style="8" customWidth="1"/>
    <col min="26" max="26" width="2.25" style="8" customWidth="1"/>
    <col min="27" max="27" width="2.25" style="8" hidden="1" customWidth="1"/>
    <col min="28" max="28" width="2.25" style="8" customWidth="1"/>
    <col min="29" max="29" width="80.625" style="504" customWidth="1"/>
    <col min="30" max="31" width="0" style="8" hidden="1" customWidth="1"/>
    <col min="32" max="16384" width="9" style="8"/>
  </cols>
  <sheetData>
    <row r="1" spans="1:31" ht="15.95" customHeight="1" thickBot="1">
      <c r="A1" s="1322" t="s">
        <v>890</v>
      </c>
      <c r="B1" s="1322"/>
      <c r="C1" s="1322"/>
      <c r="D1" s="1322"/>
      <c r="E1" s="1322"/>
      <c r="F1" s="1322"/>
      <c r="G1" s="1322"/>
      <c r="H1" s="1322"/>
      <c r="I1" s="1322"/>
      <c r="J1" s="1322"/>
      <c r="K1" s="1322"/>
      <c r="L1" s="1322"/>
      <c r="M1" s="1322"/>
      <c r="N1" s="1322"/>
      <c r="O1" s="1322"/>
      <c r="P1" s="1322"/>
      <c r="Q1" s="1322"/>
      <c r="R1" s="1322"/>
      <c r="S1" s="1322"/>
      <c r="T1" s="1322"/>
      <c r="U1" s="1322"/>
      <c r="V1" s="1322"/>
      <c r="W1" s="1322"/>
      <c r="X1" s="1322"/>
      <c r="Y1" s="1322"/>
      <c r="Z1" s="53"/>
      <c r="AA1" s="97"/>
      <c r="AB1" s="53"/>
      <c r="AC1" s="17"/>
    </row>
    <row r="2" spans="1:31" ht="24.95" customHeight="1" thickTop="1" thickBot="1">
      <c r="A2" s="1381" t="s">
        <v>865</v>
      </c>
      <c r="B2" s="1381"/>
      <c r="C2" s="1381"/>
      <c r="D2" s="1381"/>
      <c r="E2" s="1381"/>
      <c r="F2" s="1381"/>
      <c r="G2" s="1381"/>
      <c r="H2" s="1381"/>
      <c r="I2" s="1381"/>
      <c r="J2" s="1381"/>
      <c r="K2" s="1381"/>
      <c r="L2" s="1381"/>
      <c r="M2" s="1381"/>
      <c r="N2" s="1381"/>
      <c r="O2" s="1381"/>
      <c r="P2" s="1381"/>
      <c r="Q2" s="1381"/>
      <c r="R2" s="1381"/>
      <c r="S2" s="1381"/>
      <c r="T2" s="1381"/>
      <c r="U2" s="1381"/>
      <c r="V2" s="1381"/>
      <c r="W2" s="1381"/>
      <c r="X2" s="1382"/>
      <c r="Y2" s="427" t="str">
        <f>IF(COUNTIF(AA:AA,"×")=0,"入力済","未入力あり")</f>
        <v>入力済</v>
      </c>
      <c r="Z2" s="53"/>
      <c r="AA2" s="97"/>
      <c r="AB2" s="53"/>
    </row>
    <row r="3" spans="1:31"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477"/>
      <c r="X3" s="477"/>
      <c r="Y3" s="503"/>
    </row>
    <row r="4" spans="1:31" ht="20.25" customHeight="1">
      <c r="A4" s="477"/>
      <c r="B4" s="477"/>
      <c r="C4" s="477"/>
      <c r="D4" s="477"/>
      <c r="E4" s="477"/>
      <c r="F4" s="430" t="s">
        <v>757</v>
      </c>
      <c r="G4" s="1437" t="str">
        <f>表紙!E2</f>
        <v>パナソニック健康保険組合　松下記念病院</v>
      </c>
      <c r="H4" s="1438"/>
      <c r="I4" s="1438"/>
      <c r="J4" s="1438"/>
      <c r="K4" s="1438"/>
      <c r="L4" s="1438"/>
      <c r="M4" s="1438"/>
      <c r="N4" s="1438"/>
      <c r="O4" s="1438"/>
      <c r="P4" s="1438"/>
      <c r="Q4" s="1438"/>
      <c r="R4" s="1438"/>
      <c r="S4" s="1438"/>
      <c r="T4" s="1438"/>
      <c r="U4" s="1438"/>
      <c r="V4" s="1438"/>
      <c r="W4" s="1438"/>
      <c r="X4" s="1438"/>
      <c r="Y4" s="1439"/>
      <c r="Z4" s="53"/>
      <c r="AA4" s="97"/>
      <c r="AB4" s="53"/>
    </row>
    <row r="5" spans="1:31" ht="15.75" customHeight="1">
      <c r="A5" s="477"/>
      <c r="B5" s="477"/>
      <c r="C5" s="477"/>
      <c r="D5" s="477"/>
      <c r="E5" s="477"/>
      <c r="F5" s="1139" t="s">
        <v>911</v>
      </c>
      <c r="G5" t="str">
        <f>別紙1未充足要件!E5</f>
        <v>令和６年９月１日時点</v>
      </c>
      <c r="H5"/>
      <c r="I5"/>
      <c r="J5"/>
      <c r="K5"/>
      <c r="L5"/>
      <c r="M5"/>
      <c r="N5" s="547"/>
      <c r="O5" s="547"/>
      <c r="P5" s="547"/>
      <c r="Q5" s="547"/>
      <c r="R5" s="548"/>
      <c r="S5" s="548"/>
      <c r="T5" s="548"/>
      <c r="U5" s="548"/>
      <c r="V5" s="548"/>
      <c r="W5" s="548"/>
      <c r="X5" s="548"/>
      <c r="Y5" s="548"/>
      <c r="Z5" s="504"/>
      <c r="AA5" s="504"/>
      <c r="AB5" s="504"/>
      <c r="AC5" s="495" t="s">
        <v>234</v>
      </c>
    </row>
    <row r="6" spans="1:31" ht="20.100000000000001" customHeight="1" thickBot="1">
      <c r="A6" s="477"/>
      <c r="B6" s="1132" t="s">
        <v>1439</v>
      </c>
      <c r="C6" s="477"/>
      <c r="D6" s="477"/>
      <c r="E6" s="477"/>
      <c r="F6" s="477"/>
      <c r="G6" s="477"/>
      <c r="H6" s="477"/>
      <c r="I6" s="477"/>
      <c r="J6" s="477"/>
      <c r="K6" s="477"/>
      <c r="L6" s="477"/>
      <c r="M6" s="477"/>
      <c r="N6" s="477"/>
      <c r="O6" s="477"/>
      <c r="P6" s="477"/>
      <c r="Q6" s="477"/>
      <c r="R6" s="477"/>
      <c r="S6" s="477"/>
      <c r="T6" s="477"/>
      <c r="U6" s="477"/>
      <c r="V6" s="477"/>
      <c r="W6" s="477"/>
      <c r="X6" s="477"/>
      <c r="Y6" s="477"/>
      <c r="AC6" s="164"/>
    </row>
    <row r="7" spans="1:31" ht="18" customHeight="1" thickBot="1">
      <c r="A7" s="550">
        <v>1</v>
      </c>
      <c r="B7" s="1440" t="s">
        <v>891</v>
      </c>
      <c r="C7" s="1441"/>
      <c r="D7" s="1441"/>
      <c r="E7" s="1441"/>
      <c r="F7" s="1442" t="s">
        <v>1864</v>
      </c>
      <c r="G7" s="1443"/>
      <c r="H7" s="1443"/>
      <c r="I7" s="1443"/>
      <c r="J7" s="1443"/>
      <c r="K7" s="1443"/>
      <c r="L7" s="1443"/>
      <c r="M7" s="1443"/>
      <c r="N7" s="1443"/>
      <c r="O7" s="1444"/>
      <c r="P7" s="551"/>
      <c r="Q7" s="551"/>
      <c r="R7" s="551"/>
      <c r="S7" s="551"/>
      <c r="T7" s="551"/>
      <c r="U7" s="551"/>
      <c r="V7" s="551"/>
      <c r="W7" s="551"/>
      <c r="X7" s="551"/>
      <c r="Y7" s="552"/>
      <c r="AA7" s="467" t="str">
        <f>IF($F$7&lt;&gt;"","○","×")</f>
        <v>○</v>
      </c>
      <c r="AB7" s="467"/>
      <c r="AC7" s="164"/>
    </row>
    <row r="8" spans="1:31" ht="18" customHeight="1" thickBot="1">
      <c r="A8" s="550">
        <v>2</v>
      </c>
      <c r="B8" s="1440" t="s">
        <v>892</v>
      </c>
      <c r="C8" s="1441"/>
      <c r="D8" s="1441"/>
      <c r="E8" s="1441"/>
      <c r="F8" s="1445" t="s">
        <v>1865</v>
      </c>
      <c r="G8" s="1446"/>
      <c r="H8" s="1446"/>
      <c r="I8" s="1446"/>
      <c r="J8" s="1446"/>
      <c r="K8" s="1446"/>
      <c r="L8" s="1446"/>
      <c r="M8" s="1446"/>
      <c r="N8" s="1446"/>
      <c r="O8" s="1447"/>
      <c r="P8" s="426"/>
      <c r="Q8" s="426"/>
      <c r="R8" s="426"/>
      <c r="S8" s="426"/>
      <c r="T8" s="426"/>
      <c r="U8" s="426"/>
      <c r="V8" s="426"/>
      <c r="W8" s="426"/>
      <c r="X8" s="426"/>
      <c r="Y8" s="553"/>
      <c r="AA8" s="467" t="str">
        <f>IF(AND($F$7="病棟があります",F8=""),"×","○")</f>
        <v>○</v>
      </c>
      <c r="AB8" s="467"/>
      <c r="AC8" s="164"/>
    </row>
    <row r="9" spans="1:31" ht="18" customHeight="1" thickBot="1">
      <c r="A9" s="550">
        <v>3</v>
      </c>
      <c r="B9" s="1440" t="s">
        <v>893</v>
      </c>
      <c r="C9" s="1441"/>
      <c r="D9" s="1441"/>
      <c r="E9" s="1441"/>
      <c r="F9" s="1442" t="s">
        <v>1866</v>
      </c>
      <c r="G9" s="1443"/>
      <c r="H9" s="1443"/>
      <c r="I9" s="1443"/>
      <c r="J9" s="1443"/>
      <c r="K9" s="1443"/>
      <c r="L9" s="1443"/>
      <c r="M9" s="1443"/>
      <c r="N9" s="1443"/>
      <c r="O9" s="1444"/>
      <c r="P9" s="426"/>
      <c r="Q9" s="426"/>
      <c r="R9" s="426"/>
      <c r="S9" s="426"/>
      <c r="T9" s="426"/>
      <c r="U9" s="426"/>
      <c r="V9" s="426"/>
      <c r="W9" s="426"/>
      <c r="X9" s="426"/>
      <c r="Y9" s="553"/>
      <c r="AA9" s="467" t="str">
        <f t="shared" ref="AA9:AA10" si="0">IF(AND($F$7="病棟があります",F9=""),"×","○")</f>
        <v>○</v>
      </c>
      <c r="AB9" s="467"/>
      <c r="AC9" s="164"/>
    </row>
    <row r="10" spans="1:31" ht="18" customHeight="1" thickBot="1">
      <c r="A10" s="550">
        <v>4</v>
      </c>
      <c r="B10" s="1440" t="s">
        <v>894</v>
      </c>
      <c r="C10" s="1441"/>
      <c r="D10" s="1441"/>
      <c r="E10" s="1441"/>
      <c r="F10" s="327">
        <v>16</v>
      </c>
      <c r="G10" s="554" t="s">
        <v>895</v>
      </c>
      <c r="H10" s="426"/>
      <c r="I10" s="426"/>
      <c r="J10" s="426"/>
      <c r="K10" s="426"/>
      <c r="L10" s="426"/>
      <c r="M10" s="426"/>
      <c r="N10" s="426"/>
      <c r="O10" s="426"/>
      <c r="P10" s="426"/>
      <c r="Q10" s="426"/>
      <c r="R10" s="426"/>
      <c r="S10" s="426"/>
      <c r="T10" s="426"/>
      <c r="U10" s="426"/>
      <c r="V10" s="426"/>
      <c r="W10" s="426"/>
      <c r="X10" s="426"/>
      <c r="Y10" s="553"/>
      <c r="Z10" s="476"/>
      <c r="AA10" s="467" t="str">
        <f t="shared" si="0"/>
        <v>○</v>
      </c>
      <c r="AB10" s="467"/>
      <c r="AC10" s="164"/>
      <c r="AD10" s="531">
        <v>0</v>
      </c>
      <c r="AE10" s="531">
        <v>40</v>
      </c>
    </row>
    <row r="11" spans="1:31" ht="18" customHeight="1" thickBot="1">
      <c r="A11" s="1448">
        <v>5</v>
      </c>
      <c r="B11" s="1449" t="s">
        <v>896</v>
      </c>
      <c r="C11" s="1449"/>
      <c r="D11" s="1449"/>
      <c r="E11" s="1449"/>
      <c r="F11" s="1449"/>
      <c r="G11" s="1450"/>
      <c r="H11" s="1449"/>
      <c r="I11" s="1449"/>
      <c r="J11" s="1449"/>
      <c r="K11" s="1449"/>
      <c r="L11" s="1449"/>
      <c r="M11" s="1449"/>
      <c r="N11" s="1449"/>
      <c r="O11" s="1449"/>
      <c r="P11" s="1449"/>
      <c r="Q11" s="1449"/>
      <c r="R11" s="1449"/>
      <c r="S11" s="1449"/>
      <c r="T11" s="1449"/>
      <c r="U11" s="1449"/>
      <c r="V11" s="1451"/>
      <c r="W11" s="1468">
        <v>5</v>
      </c>
      <c r="X11" s="1469"/>
      <c r="Y11" s="529" t="s">
        <v>897</v>
      </c>
      <c r="Z11" s="555"/>
      <c r="AA11" s="467" t="str">
        <f>IF(AND($F$7="病棟があります",W11=""),"×","○")</f>
        <v>○</v>
      </c>
      <c r="AB11" s="467"/>
      <c r="AC11" s="164"/>
      <c r="AD11" s="556">
        <v>0</v>
      </c>
      <c r="AE11" s="531">
        <v>40</v>
      </c>
    </row>
    <row r="12" spans="1:31" ht="18" customHeight="1" thickBot="1">
      <c r="A12" s="1448"/>
      <c r="B12" s="1449" t="s">
        <v>1776</v>
      </c>
      <c r="C12" s="1449"/>
      <c r="D12" s="1449"/>
      <c r="E12" s="1449"/>
      <c r="F12" s="1449"/>
      <c r="G12" s="1449"/>
      <c r="H12" s="1449"/>
      <c r="I12" s="1449"/>
      <c r="J12" s="1449"/>
      <c r="K12" s="1449"/>
      <c r="L12" s="1449"/>
      <c r="M12" s="1449"/>
      <c r="N12" s="1449"/>
      <c r="O12" s="1449"/>
      <c r="P12" s="1449"/>
      <c r="Q12" s="1449"/>
      <c r="R12" s="1449"/>
      <c r="S12" s="1449"/>
      <c r="T12" s="1449"/>
      <c r="U12" s="1449"/>
      <c r="V12" s="1451"/>
      <c r="W12" s="1468">
        <v>141</v>
      </c>
      <c r="X12" s="1469"/>
      <c r="Y12" s="529" t="s">
        <v>262</v>
      </c>
      <c r="Z12" s="451"/>
      <c r="AA12" s="467" t="str">
        <f t="shared" ref="AA12:AA13" si="1">IF(AND($F$7="病棟があります",W12=""),"×","○")</f>
        <v>○</v>
      </c>
      <c r="AB12" s="467"/>
      <c r="AC12" s="164"/>
      <c r="AD12" s="556">
        <v>0</v>
      </c>
      <c r="AE12" s="531">
        <v>500</v>
      </c>
    </row>
    <row r="13" spans="1:31" ht="18" customHeight="1" thickBot="1">
      <c r="A13" s="1448"/>
      <c r="B13" s="1449" t="s">
        <v>1777</v>
      </c>
      <c r="C13" s="1449"/>
      <c r="D13" s="1449"/>
      <c r="E13" s="1449"/>
      <c r="F13" s="1449"/>
      <c r="G13" s="1466"/>
      <c r="H13" s="1466"/>
      <c r="I13" s="1466"/>
      <c r="J13" s="1466"/>
      <c r="K13" s="1466"/>
      <c r="L13" s="1466"/>
      <c r="M13" s="1466"/>
      <c r="N13" s="1466"/>
      <c r="O13" s="1466"/>
      <c r="P13" s="1466"/>
      <c r="Q13" s="1466"/>
      <c r="R13" s="1466"/>
      <c r="S13" s="1466"/>
      <c r="T13" s="1466"/>
      <c r="U13" s="1466"/>
      <c r="V13" s="1467"/>
      <c r="W13" s="1468">
        <v>124</v>
      </c>
      <c r="X13" s="1469"/>
      <c r="Y13" s="557" t="s">
        <v>262</v>
      </c>
      <c r="Z13" s="451"/>
      <c r="AA13" s="467" t="str">
        <f t="shared" si="1"/>
        <v>○</v>
      </c>
      <c r="AB13" s="467"/>
      <c r="AC13" s="164"/>
      <c r="AD13" s="556">
        <v>0</v>
      </c>
      <c r="AE13" s="531">
        <v>400</v>
      </c>
    </row>
    <row r="14" spans="1:31" ht="18" customHeight="1" thickBot="1">
      <c r="A14" s="1452">
        <v>6</v>
      </c>
      <c r="B14" s="1454" t="s">
        <v>898</v>
      </c>
      <c r="C14" s="1455"/>
      <c r="D14" s="1455"/>
      <c r="E14" s="1456"/>
      <c r="F14" s="558" t="s">
        <v>875</v>
      </c>
      <c r="G14" s="1460" t="s">
        <v>207</v>
      </c>
      <c r="H14" s="1461"/>
      <c r="I14" s="1461"/>
      <c r="J14" s="1461"/>
      <c r="K14" s="1461"/>
      <c r="L14" s="1461"/>
      <c r="M14" s="1461"/>
      <c r="N14" s="1461"/>
      <c r="O14" s="1461"/>
      <c r="P14" s="1461"/>
      <c r="Q14" s="1461"/>
      <c r="R14" s="1461"/>
      <c r="S14" s="1461"/>
      <c r="T14" s="1461"/>
      <c r="U14" s="1461"/>
      <c r="V14" s="1461"/>
      <c r="W14" s="1461"/>
      <c r="X14" s="1461"/>
      <c r="Y14" s="1462"/>
      <c r="Z14" s="476"/>
      <c r="AA14" s="476"/>
      <c r="AB14" s="476"/>
      <c r="AC14" s="164"/>
    </row>
    <row r="15" spans="1:31" ht="40.5" customHeight="1" thickBot="1">
      <c r="A15" s="1453"/>
      <c r="B15" s="1457"/>
      <c r="C15" s="1458"/>
      <c r="D15" s="1458"/>
      <c r="E15" s="1459"/>
      <c r="F15" s="559" t="s">
        <v>899</v>
      </c>
      <c r="G15" s="1463" t="s">
        <v>1867</v>
      </c>
      <c r="H15" s="1464"/>
      <c r="I15" s="1464"/>
      <c r="J15" s="1464"/>
      <c r="K15" s="1464"/>
      <c r="L15" s="1464"/>
      <c r="M15" s="1464"/>
      <c r="N15" s="1464"/>
      <c r="O15" s="1464"/>
      <c r="P15" s="1464"/>
      <c r="Q15" s="1464"/>
      <c r="R15" s="1464"/>
      <c r="S15" s="1464"/>
      <c r="T15" s="1464"/>
      <c r="U15" s="1464"/>
      <c r="V15" s="1464"/>
      <c r="W15" s="1464"/>
      <c r="X15" s="1464"/>
      <c r="Y15" s="1465"/>
      <c r="Z15" s="476"/>
      <c r="AA15" s="476"/>
      <c r="AB15" s="476"/>
      <c r="AC15" s="164"/>
    </row>
    <row r="16" spans="1:31" ht="18" customHeight="1" thickBot="1">
      <c r="A16" s="1452">
        <v>7</v>
      </c>
      <c r="B16" s="1471" t="s">
        <v>900</v>
      </c>
      <c r="C16" s="1472"/>
      <c r="D16" s="1475" t="s">
        <v>901</v>
      </c>
      <c r="E16" s="1476"/>
      <c r="F16" s="1476"/>
      <c r="G16" s="1476"/>
      <c r="H16" s="1476"/>
      <c r="I16" s="1477"/>
      <c r="J16" s="560">
        <v>2</v>
      </c>
      <c r="K16" s="426"/>
      <c r="L16" s="1478" t="s">
        <v>902</v>
      </c>
      <c r="M16" s="1479"/>
      <c r="N16" s="1479"/>
      <c r="O16" s="1479"/>
      <c r="P16" s="1479"/>
      <c r="Q16" s="1479"/>
      <c r="R16" s="1479"/>
      <c r="S16" s="1479"/>
      <c r="T16" s="1479"/>
      <c r="U16" s="1479"/>
      <c r="V16" s="1479"/>
      <c r="W16" s="1480"/>
      <c r="X16" s="560">
        <v>1</v>
      </c>
      <c r="Y16" s="561"/>
      <c r="AC16" s="164"/>
    </row>
    <row r="17" spans="1:31" ht="18" customHeight="1" thickBot="1">
      <c r="A17" s="1470"/>
      <c r="B17" s="1473"/>
      <c r="C17" s="1474"/>
      <c r="D17" s="1481" t="s">
        <v>1868</v>
      </c>
      <c r="E17" s="1482"/>
      <c r="F17" s="1482"/>
      <c r="G17" s="1482"/>
      <c r="H17" s="1482"/>
      <c r="I17" s="1483"/>
      <c r="J17" s="327">
        <v>4</v>
      </c>
      <c r="K17" s="426"/>
      <c r="L17" s="1484"/>
      <c r="M17" s="1485"/>
      <c r="N17" s="1485"/>
      <c r="O17" s="1485"/>
      <c r="P17" s="1485"/>
      <c r="Q17" s="1485"/>
      <c r="R17" s="1485"/>
      <c r="S17" s="1485"/>
      <c r="T17" s="1485"/>
      <c r="U17" s="1485"/>
      <c r="V17" s="1485"/>
      <c r="W17" s="1486"/>
      <c r="X17" s="327"/>
      <c r="Y17" s="561"/>
      <c r="AA17" s="467" t="str">
        <f>IF(AND($F$7="病棟があります",OR(D17="",J17="")),"×","○")</f>
        <v>○</v>
      </c>
      <c r="AB17" s="467"/>
      <c r="AC17" s="164"/>
      <c r="AD17" s="531">
        <v>0</v>
      </c>
      <c r="AE17" s="540">
        <v>20</v>
      </c>
    </row>
    <row r="18" spans="1:31" ht="18" customHeight="1" thickBot="1">
      <c r="A18" s="1470"/>
      <c r="B18" s="1473"/>
      <c r="C18" s="1474"/>
      <c r="D18" s="1481" t="s">
        <v>1051</v>
      </c>
      <c r="E18" s="1482"/>
      <c r="F18" s="1482"/>
      <c r="G18" s="1482"/>
      <c r="H18" s="1482"/>
      <c r="I18" s="1483"/>
      <c r="J18" s="327">
        <v>16</v>
      </c>
      <c r="K18" s="426"/>
      <c r="L18" s="1484"/>
      <c r="M18" s="1485"/>
      <c r="N18" s="1485"/>
      <c r="O18" s="1485"/>
      <c r="P18" s="1485"/>
      <c r="Q18" s="1485"/>
      <c r="R18" s="1485"/>
      <c r="S18" s="1485"/>
      <c r="T18" s="1485"/>
      <c r="U18" s="1485"/>
      <c r="V18" s="1485"/>
      <c r="W18" s="1486"/>
      <c r="X18" s="327"/>
      <c r="Y18" s="561"/>
      <c r="AC18" s="164"/>
      <c r="AD18" s="531">
        <v>0</v>
      </c>
      <c r="AE18" s="540">
        <v>20</v>
      </c>
    </row>
    <row r="19" spans="1:31" ht="18" customHeight="1" thickBot="1">
      <c r="A19" s="1470"/>
      <c r="B19" s="1473"/>
      <c r="C19" s="1474"/>
      <c r="D19" s="1481" t="s">
        <v>1869</v>
      </c>
      <c r="E19" s="1482"/>
      <c r="F19" s="1482"/>
      <c r="G19" s="1482"/>
      <c r="H19" s="1482"/>
      <c r="I19" s="1483"/>
      <c r="J19" s="327">
        <v>2</v>
      </c>
      <c r="K19" s="426"/>
      <c r="L19" s="1484"/>
      <c r="M19" s="1485"/>
      <c r="N19" s="1485"/>
      <c r="O19" s="1485"/>
      <c r="P19" s="1485"/>
      <c r="Q19" s="1485"/>
      <c r="R19" s="1485"/>
      <c r="S19" s="1485"/>
      <c r="T19" s="1485"/>
      <c r="U19" s="1485"/>
      <c r="V19" s="1485"/>
      <c r="W19" s="1486"/>
      <c r="X19" s="327"/>
      <c r="Y19" s="561"/>
      <c r="AC19" s="164"/>
      <c r="AD19" s="531">
        <v>0</v>
      </c>
      <c r="AE19" s="540">
        <v>20</v>
      </c>
    </row>
    <row r="20" spans="1:31" ht="18" customHeight="1" thickBot="1">
      <c r="A20" s="1470"/>
      <c r="B20" s="1473"/>
      <c r="C20" s="1474"/>
      <c r="D20" s="1481" t="s">
        <v>1870</v>
      </c>
      <c r="E20" s="1482"/>
      <c r="F20" s="1482"/>
      <c r="G20" s="1482"/>
      <c r="H20" s="1482"/>
      <c r="I20" s="1483"/>
      <c r="J20" s="327">
        <v>1</v>
      </c>
      <c r="K20" s="426"/>
      <c r="L20" s="1484"/>
      <c r="M20" s="1485"/>
      <c r="N20" s="1485"/>
      <c r="O20" s="1485"/>
      <c r="P20" s="1485"/>
      <c r="Q20" s="1485"/>
      <c r="R20" s="1485"/>
      <c r="S20" s="1485"/>
      <c r="T20" s="1485"/>
      <c r="U20" s="1485"/>
      <c r="V20" s="1485"/>
      <c r="W20" s="1486"/>
      <c r="X20" s="327"/>
      <c r="Y20" s="561"/>
      <c r="AC20" s="164"/>
      <c r="AD20" s="531">
        <v>0</v>
      </c>
      <c r="AE20" s="540">
        <v>20</v>
      </c>
    </row>
    <row r="21" spans="1:31" ht="18" customHeight="1" thickBot="1">
      <c r="A21" s="1470"/>
      <c r="B21" s="1473"/>
      <c r="C21" s="1474"/>
      <c r="D21" s="1481" t="s">
        <v>1871</v>
      </c>
      <c r="E21" s="1482"/>
      <c r="F21" s="1482"/>
      <c r="G21" s="1482"/>
      <c r="H21" s="1482"/>
      <c r="I21" s="1483"/>
      <c r="J21" s="327">
        <v>1</v>
      </c>
      <c r="K21" s="426"/>
      <c r="L21" s="1484"/>
      <c r="M21" s="1485"/>
      <c r="N21" s="1485"/>
      <c r="O21" s="1485"/>
      <c r="P21" s="1485"/>
      <c r="Q21" s="1485"/>
      <c r="R21" s="1485"/>
      <c r="S21" s="1485"/>
      <c r="T21" s="1485"/>
      <c r="U21" s="1485"/>
      <c r="V21" s="1485"/>
      <c r="W21" s="1486"/>
      <c r="X21" s="327"/>
      <c r="Y21" s="561"/>
      <c r="AC21" s="164"/>
      <c r="AD21" s="531">
        <v>0</v>
      </c>
      <c r="AE21" s="540">
        <v>20</v>
      </c>
    </row>
    <row r="22" spans="1:31" ht="18" customHeight="1" thickBot="1">
      <c r="A22" s="1470"/>
      <c r="B22" s="1473"/>
      <c r="C22" s="1474"/>
      <c r="D22" s="1481" t="s">
        <v>1872</v>
      </c>
      <c r="E22" s="1482"/>
      <c r="F22" s="1482"/>
      <c r="G22" s="1482"/>
      <c r="H22" s="1482"/>
      <c r="I22" s="1483"/>
      <c r="J22" s="327">
        <v>1</v>
      </c>
      <c r="K22" s="426"/>
      <c r="L22" s="1484"/>
      <c r="M22" s="1485"/>
      <c r="N22" s="1485"/>
      <c r="O22" s="1485"/>
      <c r="P22" s="1485"/>
      <c r="Q22" s="1485"/>
      <c r="R22" s="1485"/>
      <c r="S22" s="1485"/>
      <c r="T22" s="1485"/>
      <c r="U22" s="1485"/>
      <c r="V22" s="1485"/>
      <c r="W22" s="1486"/>
      <c r="X22" s="327"/>
      <c r="Y22" s="561"/>
      <c r="AC22" s="164"/>
      <c r="AD22" s="531">
        <v>0</v>
      </c>
      <c r="AE22" s="540">
        <v>20</v>
      </c>
    </row>
    <row r="23" spans="1:31" ht="18" customHeight="1" thickBot="1">
      <c r="A23" s="1470"/>
      <c r="B23" s="1473"/>
      <c r="C23" s="1474"/>
      <c r="D23" s="1481" t="s">
        <v>1873</v>
      </c>
      <c r="E23" s="1482"/>
      <c r="F23" s="1482"/>
      <c r="G23" s="1482"/>
      <c r="H23" s="1482"/>
      <c r="I23" s="1483"/>
      <c r="J23" s="327">
        <v>1</v>
      </c>
      <c r="K23" s="426"/>
      <c r="L23" s="1484"/>
      <c r="M23" s="1485"/>
      <c r="N23" s="1485"/>
      <c r="O23" s="1485"/>
      <c r="P23" s="1485"/>
      <c r="Q23" s="1485"/>
      <c r="R23" s="1485"/>
      <c r="S23" s="1485"/>
      <c r="T23" s="1485"/>
      <c r="U23" s="1485"/>
      <c r="V23" s="1485"/>
      <c r="W23" s="1486"/>
      <c r="X23" s="327"/>
      <c r="Y23" s="561"/>
      <c r="AC23" s="164"/>
      <c r="AD23" s="531">
        <v>0</v>
      </c>
      <c r="AE23" s="540">
        <v>20</v>
      </c>
    </row>
    <row r="24" spans="1:31" ht="18" customHeight="1" thickBot="1">
      <c r="A24" s="1470"/>
      <c r="B24" s="1473"/>
      <c r="C24" s="1474"/>
      <c r="D24" s="1481" t="s">
        <v>1874</v>
      </c>
      <c r="E24" s="1482"/>
      <c r="F24" s="1482"/>
      <c r="G24" s="1482"/>
      <c r="H24" s="1482"/>
      <c r="I24" s="1483"/>
      <c r="J24" s="327">
        <v>1</v>
      </c>
      <c r="K24" s="426"/>
      <c r="L24" s="1484"/>
      <c r="M24" s="1485"/>
      <c r="N24" s="1485"/>
      <c r="O24" s="1485"/>
      <c r="P24" s="1485"/>
      <c r="Q24" s="1485"/>
      <c r="R24" s="1485"/>
      <c r="S24" s="1485"/>
      <c r="T24" s="1485"/>
      <c r="U24" s="1485"/>
      <c r="V24" s="1485"/>
      <c r="W24" s="1486"/>
      <c r="X24" s="327"/>
      <c r="Y24" s="561"/>
      <c r="AC24" s="164"/>
      <c r="AD24" s="531">
        <v>0</v>
      </c>
      <c r="AE24" s="540">
        <v>20</v>
      </c>
    </row>
    <row r="25" spans="1:31" ht="18" customHeight="1" thickBot="1">
      <c r="A25" s="1470"/>
      <c r="B25" s="1473"/>
      <c r="C25" s="1474"/>
      <c r="D25" s="1481" t="s">
        <v>291</v>
      </c>
      <c r="E25" s="1482"/>
      <c r="F25" s="1482"/>
      <c r="G25" s="1482"/>
      <c r="H25" s="1482"/>
      <c r="I25" s="1483"/>
      <c r="J25" s="327">
        <v>1</v>
      </c>
      <c r="K25" s="426"/>
      <c r="L25" s="1484"/>
      <c r="M25" s="1485"/>
      <c r="N25" s="1485"/>
      <c r="O25" s="1485"/>
      <c r="P25" s="1485"/>
      <c r="Q25" s="1485"/>
      <c r="R25" s="1485"/>
      <c r="S25" s="1485"/>
      <c r="T25" s="1485"/>
      <c r="U25" s="1485"/>
      <c r="V25" s="1485"/>
      <c r="W25" s="1486"/>
      <c r="X25" s="327"/>
      <c r="Y25" s="561"/>
      <c r="AC25" s="164"/>
      <c r="AD25" s="531">
        <v>0</v>
      </c>
      <c r="AE25" s="540">
        <v>20</v>
      </c>
    </row>
    <row r="26" spans="1:31" ht="18" customHeight="1" thickBot="1">
      <c r="A26" s="1453"/>
      <c r="B26" s="1457"/>
      <c r="C26" s="1458"/>
      <c r="D26" s="1481"/>
      <c r="E26" s="1482"/>
      <c r="F26" s="1482"/>
      <c r="G26" s="1482"/>
      <c r="H26" s="1482"/>
      <c r="I26" s="1483"/>
      <c r="J26" s="327"/>
      <c r="K26" s="562"/>
      <c r="L26" s="1487"/>
      <c r="M26" s="1488"/>
      <c r="N26" s="1488"/>
      <c r="O26" s="1488"/>
      <c r="P26" s="1488"/>
      <c r="Q26" s="1488"/>
      <c r="R26" s="1488"/>
      <c r="S26" s="1488"/>
      <c r="T26" s="1488"/>
      <c r="U26" s="1488"/>
      <c r="V26" s="1488"/>
      <c r="W26" s="1489"/>
      <c r="X26" s="327"/>
      <c r="Y26" s="561"/>
      <c r="AC26" s="164"/>
      <c r="AD26" s="531">
        <v>0</v>
      </c>
      <c r="AE26" s="540">
        <v>20</v>
      </c>
    </row>
    <row r="27" spans="1:31" ht="18" customHeight="1" thickBot="1">
      <c r="A27" s="1496">
        <v>8</v>
      </c>
      <c r="B27" s="1497" t="s">
        <v>878</v>
      </c>
      <c r="C27" s="1498"/>
      <c r="D27" s="1499"/>
      <c r="E27" s="1499"/>
      <c r="F27" s="1474"/>
      <c r="G27" s="1474"/>
      <c r="H27" s="1474"/>
      <c r="I27" s="1474"/>
      <c r="J27" s="1474"/>
      <c r="K27" s="1474"/>
      <c r="L27" s="1474"/>
      <c r="M27" s="1474"/>
      <c r="N27" s="1474"/>
      <c r="O27" s="1474"/>
      <c r="P27" s="1474"/>
      <c r="Q27" s="1474"/>
      <c r="R27" s="1474"/>
      <c r="S27" s="1474"/>
      <c r="T27" s="1474"/>
      <c r="U27" s="1474"/>
      <c r="V27" s="1474"/>
      <c r="W27" s="1474"/>
      <c r="X27" s="1474"/>
      <c r="Y27" s="37" t="s">
        <v>1808</v>
      </c>
      <c r="AA27" s="467" t="str">
        <f>IF(AND($F$7="病棟があります",Y27=""),"×","○")</f>
        <v>○</v>
      </c>
      <c r="AB27" s="467"/>
      <c r="AC27" s="164"/>
    </row>
    <row r="28" spans="1:31" ht="18" customHeight="1" thickBot="1">
      <c r="A28" s="1404"/>
      <c r="B28" s="1500" t="s">
        <v>879</v>
      </c>
      <c r="C28" s="1501"/>
      <c r="D28" s="1501"/>
      <c r="E28" s="1501"/>
      <c r="F28" s="1502" t="s">
        <v>1875</v>
      </c>
      <c r="G28" s="1503"/>
      <c r="H28" s="1503"/>
      <c r="I28" s="1503"/>
      <c r="J28" s="1503"/>
      <c r="K28" s="1503"/>
      <c r="L28" s="1503"/>
      <c r="M28" s="1503"/>
      <c r="N28" s="1503"/>
      <c r="O28" s="1503"/>
      <c r="P28" s="1503"/>
      <c r="Q28" s="1503"/>
      <c r="R28" s="1503"/>
      <c r="S28" s="1503"/>
      <c r="T28" s="1503"/>
      <c r="U28" s="1503"/>
      <c r="V28" s="1503"/>
      <c r="W28" s="1503"/>
      <c r="X28" s="1503"/>
      <c r="Y28" s="1504"/>
      <c r="AA28" s="467" t="str">
        <f>IF(AND($Y$27="はい",F28=""),"×","○")</f>
        <v>○</v>
      </c>
      <c r="AB28" s="467"/>
      <c r="AC28" s="164"/>
    </row>
    <row r="29" spans="1:31" ht="18" customHeight="1" thickBot="1">
      <c r="A29" s="1404"/>
      <c r="B29" s="1500" t="s">
        <v>880</v>
      </c>
      <c r="C29" s="1505"/>
      <c r="D29" s="1505"/>
      <c r="E29" s="1506"/>
      <c r="F29" s="1502" t="s">
        <v>1876</v>
      </c>
      <c r="G29" s="1503"/>
      <c r="H29" s="1503"/>
      <c r="I29" s="1503"/>
      <c r="J29" s="1503"/>
      <c r="K29" s="1503"/>
      <c r="L29" s="1503"/>
      <c r="M29" s="1503"/>
      <c r="N29" s="1503"/>
      <c r="O29" s="1504"/>
      <c r="P29" s="1427" t="s">
        <v>881</v>
      </c>
      <c r="Q29" s="1427"/>
      <c r="R29" s="1427"/>
      <c r="S29" s="1493">
        <v>3201</v>
      </c>
      <c r="T29" s="1494"/>
      <c r="U29" s="1494"/>
      <c r="V29" s="1494"/>
      <c r="W29" s="1494"/>
      <c r="X29" s="1494"/>
      <c r="Y29" s="1495"/>
      <c r="AA29" s="467"/>
      <c r="AB29" s="467"/>
      <c r="AC29" s="164"/>
    </row>
    <row r="30" spans="1:31" ht="18" customHeight="1" thickBot="1">
      <c r="A30" s="1404"/>
      <c r="B30" s="1507" t="s">
        <v>903</v>
      </c>
      <c r="C30" s="1508"/>
      <c r="D30" s="1508"/>
      <c r="E30" s="1509"/>
      <c r="F30" s="558" t="s">
        <v>875</v>
      </c>
      <c r="G30" s="1490" t="s">
        <v>1877</v>
      </c>
      <c r="H30" s="1491"/>
      <c r="I30" s="1491"/>
      <c r="J30" s="1491"/>
      <c r="K30" s="1491"/>
      <c r="L30" s="1491"/>
      <c r="M30" s="1491"/>
      <c r="N30" s="1491"/>
      <c r="O30" s="1491"/>
      <c r="P30" s="1491"/>
      <c r="Q30" s="1491"/>
      <c r="R30" s="1491"/>
      <c r="S30" s="1491"/>
      <c r="T30" s="1491"/>
      <c r="U30" s="1491"/>
      <c r="V30" s="1491"/>
      <c r="W30" s="1491"/>
      <c r="X30" s="1491"/>
      <c r="Y30" s="1492"/>
      <c r="AC30" s="164"/>
    </row>
    <row r="31" spans="1:31" ht="18" customHeight="1" thickBot="1">
      <c r="A31" s="1405"/>
      <c r="B31" s="1510"/>
      <c r="C31" s="1511"/>
      <c r="D31" s="1511"/>
      <c r="E31" s="1512"/>
      <c r="F31" s="559" t="s">
        <v>899</v>
      </c>
      <c r="G31" s="1463" t="s">
        <v>1878</v>
      </c>
      <c r="H31" s="1464"/>
      <c r="I31" s="1464"/>
      <c r="J31" s="1464"/>
      <c r="K31" s="1464"/>
      <c r="L31" s="1464"/>
      <c r="M31" s="1464"/>
      <c r="N31" s="1464"/>
      <c r="O31" s="1464"/>
      <c r="P31" s="1464"/>
      <c r="Q31" s="1464"/>
      <c r="R31" s="1464"/>
      <c r="S31" s="1464"/>
      <c r="T31" s="1464"/>
      <c r="U31" s="1464"/>
      <c r="V31" s="1464"/>
      <c r="W31" s="1464"/>
      <c r="X31" s="1464"/>
      <c r="Y31" s="1465"/>
      <c r="AC31" s="164"/>
    </row>
    <row r="32" spans="1:31" ht="35.25" customHeight="1" thickBot="1">
      <c r="A32" s="1496">
        <v>9</v>
      </c>
      <c r="B32" s="563" t="s">
        <v>882</v>
      </c>
      <c r="C32" s="564"/>
      <c r="D32" s="564"/>
      <c r="E32" s="564"/>
      <c r="F32" s="565"/>
      <c r="G32" s="565"/>
      <c r="H32" s="565"/>
      <c r="I32" s="565"/>
      <c r="J32" s="565"/>
      <c r="K32" s="565"/>
      <c r="L32" s="565"/>
      <c r="M32" s="565"/>
      <c r="N32" s="565"/>
      <c r="O32" s="565"/>
      <c r="P32" s="565"/>
      <c r="Q32" s="565"/>
      <c r="R32" s="565"/>
      <c r="S32" s="565"/>
      <c r="T32" s="565"/>
      <c r="U32" s="565"/>
      <c r="V32" s="565"/>
      <c r="W32" s="565"/>
      <c r="X32" s="566"/>
      <c r="Y32" s="36" t="s">
        <v>1808</v>
      </c>
      <c r="AA32" s="467" t="str">
        <f>IF(AND($F$7="病棟があります",Y32=""),"×","○")</f>
        <v>○</v>
      </c>
      <c r="AB32" s="467"/>
      <c r="AC32" s="164"/>
    </row>
    <row r="33" spans="1:29" ht="18" customHeight="1" thickBot="1">
      <c r="A33" s="1404"/>
      <c r="B33" s="1500" t="s">
        <v>879</v>
      </c>
      <c r="C33" s="1501"/>
      <c r="D33" s="1501"/>
      <c r="E33" s="1501"/>
      <c r="F33" s="1502" t="s">
        <v>1879</v>
      </c>
      <c r="G33" s="1503"/>
      <c r="H33" s="1503"/>
      <c r="I33" s="1503"/>
      <c r="J33" s="1503"/>
      <c r="K33" s="1503"/>
      <c r="L33" s="1503"/>
      <c r="M33" s="1503"/>
      <c r="N33" s="1503"/>
      <c r="O33" s="1503"/>
      <c r="P33" s="1503"/>
      <c r="Q33" s="1503"/>
      <c r="R33" s="1503"/>
      <c r="S33" s="1503"/>
      <c r="T33" s="1503"/>
      <c r="U33" s="1503"/>
      <c r="V33" s="1503"/>
      <c r="W33" s="1503"/>
      <c r="X33" s="1503"/>
      <c r="Y33" s="1531"/>
      <c r="AA33" s="467" t="str">
        <f>IF(AND($Y$32="はい",F33=""),"×","○")</f>
        <v>○</v>
      </c>
      <c r="AB33" s="467"/>
      <c r="AC33" s="164"/>
    </row>
    <row r="34" spans="1:29" ht="18" customHeight="1" thickBot="1">
      <c r="A34" s="1404"/>
      <c r="B34" s="1500" t="s">
        <v>880</v>
      </c>
      <c r="C34" s="1505"/>
      <c r="D34" s="1505"/>
      <c r="E34" s="1506"/>
      <c r="F34" s="1502" t="s">
        <v>1880</v>
      </c>
      <c r="G34" s="1503"/>
      <c r="H34" s="1503"/>
      <c r="I34" s="1503"/>
      <c r="J34" s="1503"/>
      <c r="K34" s="1503"/>
      <c r="L34" s="1503"/>
      <c r="M34" s="1503"/>
      <c r="N34" s="1503"/>
      <c r="O34" s="1504"/>
      <c r="P34" s="1427" t="s">
        <v>881</v>
      </c>
      <c r="Q34" s="1427"/>
      <c r="R34" s="1427"/>
      <c r="S34" s="1493">
        <v>3195</v>
      </c>
      <c r="T34" s="1494"/>
      <c r="U34" s="1494"/>
      <c r="V34" s="1494"/>
      <c r="W34" s="1494"/>
      <c r="X34" s="1494"/>
      <c r="Y34" s="1495"/>
      <c r="AC34" s="164"/>
    </row>
    <row r="35" spans="1:29" ht="18" customHeight="1" thickBot="1">
      <c r="A35" s="1404"/>
      <c r="B35" s="1518" t="s">
        <v>903</v>
      </c>
      <c r="C35" s="1519"/>
      <c r="D35" s="1519"/>
      <c r="E35" s="1520"/>
      <c r="F35" s="558" t="s">
        <v>875</v>
      </c>
      <c r="G35" s="1524" t="s">
        <v>1879</v>
      </c>
      <c r="H35" s="1524"/>
      <c r="I35" s="1524"/>
      <c r="J35" s="1524"/>
      <c r="K35" s="1524"/>
      <c r="L35" s="1524"/>
      <c r="M35" s="1524"/>
      <c r="N35" s="1524"/>
      <c r="O35" s="1524"/>
      <c r="P35" s="1524"/>
      <c r="Q35" s="1524"/>
      <c r="R35" s="1524"/>
      <c r="S35" s="1524"/>
      <c r="T35" s="1524"/>
      <c r="U35" s="1524"/>
      <c r="V35" s="1524"/>
      <c r="W35" s="1524"/>
      <c r="X35" s="1524"/>
      <c r="Y35" s="1524"/>
      <c r="AC35" s="164"/>
    </row>
    <row r="36" spans="1:29" ht="18" customHeight="1" thickBot="1">
      <c r="A36" s="1405"/>
      <c r="B36" s="1521"/>
      <c r="C36" s="1522"/>
      <c r="D36" s="1522"/>
      <c r="E36" s="1523"/>
      <c r="F36" s="559" t="s">
        <v>899</v>
      </c>
      <c r="G36" s="1525" t="s">
        <v>1867</v>
      </c>
      <c r="H36" s="1525"/>
      <c r="I36" s="1525"/>
      <c r="J36" s="1525"/>
      <c r="K36" s="1525"/>
      <c r="L36" s="1525"/>
      <c r="M36" s="1525"/>
      <c r="N36" s="1525"/>
      <c r="O36" s="1525"/>
      <c r="P36" s="1525"/>
      <c r="Q36" s="1525"/>
      <c r="R36" s="1525"/>
      <c r="S36" s="1525"/>
      <c r="T36" s="1525"/>
      <c r="U36" s="1525"/>
      <c r="V36" s="1525"/>
      <c r="W36" s="1525"/>
      <c r="X36" s="1525"/>
      <c r="Y36" s="1525"/>
      <c r="AC36" s="164"/>
    </row>
    <row r="37" spans="1:29" ht="35.25" customHeight="1" thickBot="1">
      <c r="A37" s="1367">
        <v>10</v>
      </c>
      <c r="B37" s="1454" t="s">
        <v>904</v>
      </c>
      <c r="C37" s="1455"/>
      <c r="D37" s="1526" t="s">
        <v>905</v>
      </c>
      <c r="E37" s="1527"/>
      <c r="F37" s="1527"/>
      <c r="G37" s="1528"/>
      <c r="H37" s="1528"/>
      <c r="I37" s="1528"/>
      <c r="J37" s="1528"/>
      <c r="K37" s="1528"/>
      <c r="L37" s="1528"/>
      <c r="M37" s="1528"/>
      <c r="N37" s="1528"/>
      <c r="O37" s="1528"/>
      <c r="P37" s="1528"/>
      <c r="Q37" s="1528"/>
      <c r="R37" s="1528"/>
      <c r="S37" s="1528"/>
      <c r="T37" s="1528"/>
      <c r="U37" s="1528"/>
      <c r="V37" s="1528"/>
      <c r="W37" s="1528"/>
      <c r="X37" s="1528"/>
      <c r="Y37" s="1529"/>
      <c r="AC37" s="164"/>
    </row>
    <row r="38" spans="1:29" ht="24.95" customHeight="1" thickBot="1">
      <c r="A38" s="1367"/>
      <c r="B38" s="1457"/>
      <c r="C38" s="1458"/>
      <c r="D38" s="1530" t="s">
        <v>1881</v>
      </c>
      <c r="E38" s="1530"/>
      <c r="F38" s="1530"/>
      <c r="G38" s="1530"/>
      <c r="H38" s="1530"/>
      <c r="I38" s="1530"/>
      <c r="J38" s="1530"/>
      <c r="K38" s="1530"/>
      <c r="L38" s="1530"/>
      <c r="M38" s="1530"/>
      <c r="N38" s="1530"/>
      <c r="O38" s="1530"/>
      <c r="P38" s="1530"/>
      <c r="Q38" s="1530"/>
      <c r="R38" s="1530"/>
      <c r="S38" s="1530"/>
      <c r="T38" s="1530"/>
      <c r="U38" s="1530"/>
      <c r="V38" s="1530"/>
      <c r="W38" s="1530"/>
      <c r="X38" s="1530"/>
      <c r="Y38" s="1530"/>
      <c r="AA38" s="467" t="str">
        <f>IF(AND($F$7="病棟があります",D38=""),"×","○")</f>
        <v>○</v>
      </c>
      <c r="AB38" s="467"/>
      <c r="AC38" s="164"/>
    </row>
    <row r="39" spans="1:29" ht="33.75" customHeight="1" thickBot="1">
      <c r="A39" s="1364">
        <v>11</v>
      </c>
      <c r="B39" s="1454" t="s">
        <v>906</v>
      </c>
      <c r="C39" s="1472"/>
      <c r="D39" s="1514" t="s">
        <v>907</v>
      </c>
      <c r="E39" s="1515"/>
      <c r="F39" s="1515"/>
      <c r="G39" s="1515"/>
      <c r="H39" s="1515"/>
      <c r="I39" s="1515"/>
      <c r="J39" s="1515"/>
      <c r="K39" s="1515"/>
      <c r="L39" s="1515"/>
      <c r="M39" s="1515"/>
      <c r="N39" s="1515"/>
      <c r="O39" s="1515"/>
      <c r="P39" s="1515"/>
      <c r="Q39" s="1515"/>
      <c r="R39" s="1515"/>
      <c r="S39" s="1515"/>
      <c r="T39" s="1515"/>
      <c r="U39" s="1515"/>
      <c r="V39" s="1515"/>
      <c r="W39" s="1515"/>
      <c r="X39" s="1515"/>
      <c r="Y39" s="1516"/>
      <c r="AC39" s="164"/>
    </row>
    <row r="40" spans="1:29" ht="30" customHeight="1" thickBot="1">
      <c r="A40" s="1513"/>
      <c r="B40" s="1457"/>
      <c r="C40" s="1458"/>
      <c r="D40" s="1517" t="s">
        <v>1882</v>
      </c>
      <c r="E40" s="1517"/>
      <c r="F40" s="1517"/>
      <c r="G40" s="1517"/>
      <c r="H40" s="1517"/>
      <c r="I40" s="1517"/>
      <c r="J40" s="1517"/>
      <c r="K40" s="1517"/>
      <c r="L40" s="1517"/>
      <c r="M40" s="1517"/>
      <c r="N40" s="1517"/>
      <c r="O40" s="1517"/>
      <c r="P40" s="1517"/>
      <c r="Q40" s="1517"/>
      <c r="R40" s="1517"/>
      <c r="S40" s="1517"/>
      <c r="T40" s="1517"/>
      <c r="U40" s="1517"/>
      <c r="V40" s="1517"/>
      <c r="W40" s="1517"/>
      <c r="X40" s="1517"/>
      <c r="Y40" s="1517"/>
      <c r="AA40" s="467" t="str">
        <f>IF(AND($F$7="病棟があります",D40=""),"×","○")</f>
        <v>○</v>
      </c>
      <c r="AB40" s="467"/>
      <c r="AC40" s="165"/>
    </row>
    <row r="41" spans="1:29" ht="54" customHeight="1">
      <c r="AC41" s="567"/>
    </row>
    <row r="1048576" spans="29:29">
      <c r="AC1048576" s="549" t="s">
        <v>908</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9"/>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6"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Normal="100" zoomScaleSheetLayoutView="100" workbookViewId="0">
      <selection activeCell="H7" sqref="H7"/>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332" customWidth="1"/>
    <col min="15" max="16" width="0" hidden="1" customWidth="1"/>
  </cols>
  <sheetData>
    <row r="1" spans="1:16" ht="20.25" customHeight="1" thickBot="1">
      <c r="A1" s="1545" t="s">
        <v>909</v>
      </c>
      <c r="B1" s="1545"/>
      <c r="C1" s="1545"/>
      <c r="D1" s="1545"/>
      <c r="E1" s="1545"/>
      <c r="F1" s="1545"/>
      <c r="G1" s="1545"/>
      <c r="H1" s="1545"/>
      <c r="I1" s="1545"/>
      <c r="J1" s="1545"/>
      <c r="M1" s="83"/>
    </row>
    <row r="2" spans="1:16" ht="24.95" customHeight="1" thickTop="1" thickBot="1">
      <c r="A2" s="1381" t="s">
        <v>910</v>
      </c>
      <c r="B2" s="1381"/>
      <c r="C2" s="1381"/>
      <c r="D2" s="1381"/>
      <c r="E2" s="1381"/>
      <c r="F2" s="1381"/>
      <c r="G2" s="1381"/>
      <c r="H2" s="1381"/>
      <c r="I2" s="1382"/>
      <c r="J2" s="427" t="str">
        <f>IF(COUNTIF(L7:L18,"×")=0,"入力済","未入力あり")</f>
        <v>入力済</v>
      </c>
      <c r="K2" s="1317"/>
      <c r="L2" s="492"/>
      <c r="M2" s="83"/>
    </row>
    <row r="3" spans="1:16" ht="5.0999999999999996" customHeight="1" thickTop="1">
      <c r="K3" s="1317"/>
      <c r="L3" s="492"/>
      <c r="M3" s="83"/>
    </row>
    <row r="4" spans="1:16" ht="20.100000000000001" customHeight="1">
      <c r="F4" s="568" t="s">
        <v>757</v>
      </c>
      <c r="G4" s="1546" t="str">
        <f>表紙!E2</f>
        <v>パナソニック健康保険組合　松下記念病院</v>
      </c>
      <c r="H4" s="1547"/>
      <c r="I4" s="1547"/>
      <c r="J4" s="1548"/>
      <c r="K4" s="1317"/>
      <c r="L4" s="492"/>
      <c r="M4" s="83"/>
      <c r="N4" s="429"/>
    </row>
    <row r="5" spans="1:16" ht="20.100000000000001" customHeight="1">
      <c r="F5" s="568" t="s">
        <v>911</v>
      </c>
      <c r="G5" t="str">
        <f>別紙1未充足要件!E5</f>
        <v>令和６年９月１日時点</v>
      </c>
      <c r="I5" s="569"/>
      <c r="J5" s="569"/>
      <c r="K5" s="1317"/>
      <c r="L5" s="492"/>
      <c r="M5" s="83"/>
      <c r="N5" s="570" t="s">
        <v>234</v>
      </c>
    </row>
    <row r="6" spans="1:16" ht="18" customHeight="1" thickBot="1">
      <c r="A6" s="1549" t="s">
        <v>912</v>
      </c>
      <c r="B6" s="1550"/>
      <c r="C6" s="1550"/>
      <c r="D6" s="1550"/>
      <c r="E6" s="1550"/>
      <c r="F6" s="1550"/>
      <c r="G6" s="1550"/>
      <c r="H6" s="1550"/>
      <c r="I6" s="1550"/>
      <c r="J6" s="1551"/>
      <c r="K6" s="492"/>
      <c r="L6" s="492"/>
      <c r="M6" s="83"/>
      <c r="N6" s="74"/>
    </row>
    <row r="7" spans="1:16" ht="18" customHeight="1" thickBot="1">
      <c r="A7" t="s">
        <v>1771</v>
      </c>
      <c r="B7" s="8"/>
      <c r="C7" s="8"/>
      <c r="D7" t="s">
        <v>913</v>
      </c>
      <c r="F7" s="8"/>
      <c r="H7" s="327">
        <v>0</v>
      </c>
      <c r="I7" s="571" t="s">
        <v>914</v>
      </c>
      <c r="J7" s="572"/>
      <c r="K7" s="190"/>
      <c r="L7" s="573" t="str">
        <f>IF(H7&lt;&gt;"","○","×")</f>
        <v>○</v>
      </c>
      <c r="M7" s="83"/>
      <c r="N7" s="74"/>
      <c r="O7" s="372">
        <v>0</v>
      </c>
      <c r="P7" s="373">
        <v>50</v>
      </c>
    </row>
    <row r="8" spans="1:16" ht="18" customHeight="1" thickBot="1">
      <c r="A8" s="574"/>
      <c r="B8" s="8"/>
      <c r="C8" s="8"/>
      <c r="D8" t="s">
        <v>915</v>
      </c>
      <c r="F8" s="8"/>
      <c r="H8" s="327">
        <v>0</v>
      </c>
      <c r="I8" s="571" t="s">
        <v>914</v>
      </c>
      <c r="J8" s="572"/>
      <c r="K8" s="190"/>
      <c r="L8" s="573" t="str">
        <f>IF(H8&lt;&gt;"","○","×")</f>
        <v>○</v>
      </c>
      <c r="M8" s="83"/>
      <c r="N8" s="74"/>
      <c r="O8" s="372">
        <v>0</v>
      </c>
      <c r="P8" s="373">
        <v>50</v>
      </c>
    </row>
    <row r="9" spans="1:16" ht="29.25" customHeight="1">
      <c r="A9" s="575" t="s">
        <v>916</v>
      </c>
      <c r="B9" s="1537" t="s">
        <v>917</v>
      </c>
      <c r="C9" s="1537"/>
      <c r="D9" s="1537"/>
      <c r="E9" s="1537"/>
      <c r="F9" s="1537"/>
      <c r="G9" s="1537"/>
      <c r="H9" s="1537"/>
      <c r="I9" s="1537"/>
      <c r="J9" s="1538"/>
      <c r="K9" s="492"/>
      <c r="L9" s="576"/>
      <c r="M9" s="83"/>
      <c r="N9" s="74"/>
    </row>
    <row r="10" spans="1:16" ht="18.75" customHeight="1">
      <c r="A10" s="577" t="s">
        <v>918</v>
      </c>
      <c r="B10" s="1539" t="s">
        <v>919</v>
      </c>
      <c r="C10" s="1539"/>
      <c r="D10" s="1539"/>
      <c r="E10" s="1539"/>
      <c r="F10" s="1539"/>
      <c r="G10" s="1539"/>
      <c r="H10" s="1539"/>
      <c r="I10" s="1539"/>
      <c r="J10" s="1540"/>
      <c r="K10" s="492"/>
      <c r="L10" s="576"/>
      <c r="M10" s="83"/>
      <c r="N10" s="74"/>
    </row>
    <row r="11" spans="1:16" ht="20.100000000000001" customHeight="1" thickBot="1">
      <c r="A11" s="578" t="s">
        <v>1440</v>
      </c>
      <c r="B11" s="579"/>
      <c r="C11" s="579"/>
      <c r="D11" s="579"/>
      <c r="E11" s="579"/>
      <c r="F11" s="579"/>
      <c r="G11" s="579"/>
      <c r="H11" s="579"/>
      <c r="I11" s="454"/>
      <c r="J11" s="580"/>
      <c r="K11" s="492"/>
      <c r="L11" s="576"/>
      <c r="M11" s="83"/>
      <c r="N11" s="74"/>
    </row>
    <row r="12" spans="1:16" ht="20.100000000000001" customHeight="1" thickBot="1">
      <c r="A12" s="1541" t="s">
        <v>920</v>
      </c>
      <c r="B12" s="1541"/>
      <c r="C12" s="1541"/>
      <c r="D12" s="1541"/>
      <c r="E12" s="1541"/>
      <c r="F12" s="1542"/>
      <c r="G12" s="581"/>
      <c r="H12" s="327">
        <v>0</v>
      </c>
      <c r="I12" s="582" t="s">
        <v>895</v>
      </c>
      <c r="J12" s="572"/>
      <c r="K12" s="190"/>
      <c r="L12" s="587" t="str">
        <f>IF(AND(H12&lt;&gt;0,H12=""),"×","○")</f>
        <v>○</v>
      </c>
      <c r="M12" s="83"/>
      <c r="N12" s="74"/>
      <c r="O12" s="372">
        <v>0</v>
      </c>
      <c r="P12" s="373">
        <v>10</v>
      </c>
    </row>
    <row r="13" spans="1:16" ht="20.100000000000001" customHeight="1" thickBot="1">
      <c r="A13" s="1543" t="s">
        <v>1769</v>
      </c>
      <c r="B13" s="1543"/>
      <c r="C13" s="1543"/>
      <c r="D13" s="1543"/>
      <c r="E13" s="1543"/>
      <c r="F13" s="1544"/>
      <c r="G13" s="583"/>
      <c r="H13" s="327">
        <v>0</v>
      </c>
      <c r="I13" s="584" t="s">
        <v>379</v>
      </c>
      <c r="J13" s="585"/>
      <c r="K13" s="190"/>
      <c r="L13" s="587" t="str">
        <f>IF(AND(H13&lt;&gt;0,H13=""),"×","○")</f>
        <v>○</v>
      </c>
      <c r="M13" s="83"/>
      <c r="N13" s="74"/>
      <c r="O13" s="372">
        <v>0</v>
      </c>
      <c r="P13" s="373">
        <v>1000</v>
      </c>
    </row>
    <row r="14" spans="1:16" ht="20.100000000000001" customHeight="1" thickBot="1">
      <c r="A14" s="578" t="s">
        <v>921</v>
      </c>
      <c r="B14" s="579"/>
      <c r="C14" s="579"/>
      <c r="D14" s="579"/>
      <c r="E14" s="579"/>
      <c r="F14" s="579"/>
      <c r="G14" s="579"/>
      <c r="H14" s="579"/>
      <c r="I14" s="454"/>
      <c r="J14" s="580"/>
      <c r="K14" s="492"/>
      <c r="L14" s="576"/>
      <c r="M14" s="83"/>
      <c r="N14" s="74"/>
    </row>
    <row r="15" spans="1:16" ht="20.100000000000001" customHeight="1" thickBot="1">
      <c r="A15" s="1541" t="s">
        <v>922</v>
      </c>
      <c r="B15" s="1541"/>
      <c r="C15" s="1541"/>
      <c r="D15" s="1541"/>
      <c r="E15" s="1541"/>
      <c r="F15" s="1542"/>
      <c r="G15" s="581"/>
      <c r="H15" s="37" t="s">
        <v>1808</v>
      </c>
      <c r="I15" s="582"/>
      <c r="J15" s="572"/>
      <c r="K15" s="190"/>
      <c r="L15" s="573" t="str">
        <f>IF(H15&lt;&gt;"","○","×")</f>
        <v>○</v>
      </c>
      <c r="M15" s="83"/>
      <c r="N15" s="74"/>
    </row>
    <row r="16" spans="1:16" ht="20.100000000000001" customHeight="1" thickBot="1">
      <c r="A16" s="1532" t="s">
        <v>1770</v>
      </c>
      <c r="B16" s="1532"/>
      <c r="C16" s="1532"/>
      <c r="D16" s="1532"/>
      <c r="E16" s="1532"/>
      <c r="F16" s="1533"/>
      <c r="G16" s="586"/>
      <c r="H16" s="327">
        <v>0</v>
      </c>
      <c r="I16" s="582" t="s">
        <v>262</v>
      </c>
      <c r="J16" s="572"/>
      <c r="K16" s="190"/>
      <c r="L16" s="587" t="str">
        <f>IF(AND(H15="はい",H16=""),"×","○")</f>
        <v>○</v>
      </c>
      <c r="M16" s="83"/>
      <c r="N16" s="74"/>
      <c r="O16" s="372">
        <v>0</v>
      </c>
      <c r="P16" s="373">
        <v>500</v>
      </c>
    </row>
    <row r="17" spans="1:14" ht="20.100000000000001" customHeight="1" thickBot="1">
      <c r="A17" s="504" t="s">
        <v>923</v>
      </c>
      <c r="B17" s="504"/>
      <c r="C17" s="504"/>
      <c r="D17" s="504"/>
      <c r="E17" s="504"/>
      <c r="F17" s="504"/>
      <c r="H17" s="588"/>
      <c r="I17" s="8"/>
      <c r="J17" s="572"/>
      <c r="K17" s="190"/>
      <c r="L17" s="573"/>
      <c r="M17" s="83"/>
      <c r="N17" s="166"/>
    </row>
    <row r="18" spans="1:14" ht="48.75" customHeight="1" thickBot="1">
      <c r="A18" s="1534" t="s">
        <v>1883</v>
      </c>
      <c r="B18" s="1535"/>
      <c r="C18" s="1535"/>
      <c r="D18" s="1535"/>
      <c r="E18" s="1535"/>
      <c r="F18" s="1535"/>
      <c r="G18" s="1535"/>
      <c r="H18" s="1535"/>
      <c r="I18" s="1536"/>
      <c r="J18" s="585"/>
      <c r="K18" s="190"/>
      <c r="L18" s="573" t="str">
        <f>IF(AND(H15="いいえ",A18=""),"×","○")</f>
        <v>○</v>
      </c>
      <c r="M18" s="83"/>
      <c r="N18" s="166"/>
    </row>
    <row r="19" spans="1:14" ht="12" customHeight="1">
      <c r="F19" s="568"/>
      <c r="G19" s="8"/>
      <c r="H19" s="8"/>
      <c r="I19" s="569"/>
      <c r="J19" s="569"/>
      <c r="K19" s="492"/>
      <c r="L19" s="492"/>
      <c r="N19" s="151"/>
    </row>
    <row r="20" spans="1:14">
      <c r="K20" s="149"/>
      <c r="L20" s="149"/>
    </row>
    <row r="23" spans="1:14">
      <c r="M23" s="180"/>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9"/>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D13" sqref="D13:F13"/>
    </sheetView>
  </sheetViews>
  <sheetFormatPr defaultColWidth="8.875" defaultRowHeight="18.75"/>
  <cols>
    <col min="1" max="1" width="4.625" style="591" customWidth="1"/>
    <col min="2" max="2" width="17.625" style="591" customWidth="1"/>
    <col min="3" max="3" width="15.75" style="612" customWidth="1"/>
    <col min="4" max="4" width="15.25" style="591" customWidth="1"/>
    <col min="5" max="5" width="11.875" style="591" customWidth="1"/>
    <col min="6" max="6" width="39.25" style="591" customWidth="1"/>
    <col min="7" max="7" width="2.75" style="591" customWidth="1"/>
    <col min="8" max="8" width="6" style="591" hidden="1" customWidth="1"/>
    <col min="9" max="9" width="2.25" style="602" customWidth="1"/>
    <col min="10" max="10" width="82.75" style="594" bestFit="1" customWidth="1"/>
    <col min="11" max="16384" width="8.875" style="591"/>
  </cols>
  <sheetData>
    <row r="1" spans="1:10">
      <c r="A1" s="1562" t="s">
        <v>1754</v>
      </c>
      <c r="B1" s="1562"/>
      <c r="C1" s="1562"/>
      <c r="D1" s="1562"/>
      <c r="E1" s="1562"/>
      <c r="F1" s="1562"/>
      <c r="G1" s="589"/>
      <c r="H1" s="589"/>
      <c r="I1" s="84"/>
      <c r="J1" s="590"/>
    </row>
    <row r="2" spans="1:10" ht="6" customHeight="1" thickBot="1">
      <c r="A2" s="592"/>
      <c r="B2" s="592"/>
      <c r="C2" s="592"/>
      <c r="D2" s="592"/>
      <c r="E2" s="592"/>
      <c r="F2" s="592"/>
      <c r="G2" s="589"/>
      <c r="H2" s="589"/>
      <c r="I2" s="84"/>
      <c r="J2" s="590"/>
    </row>
    <row r="3" spans="1:10" ht="20.25" customHeight="1" thickTop="1" thickBot="1">
      <c r="A3" s="1381" t="s">
        <v>865</v>
      </c>
      <c r="B3" s="1381"/>
      <c r="C3" s="1381"/>
      <c r="D3" s="1381"/>
      <c r="E3" s="1382"/>
      <c r="F3" s="427" t="str">
        <f>IF(COUNTIF(H13:H42,"×")&gt;=1,"未入力あり","入力済")</f>
        <v>入力済</v>
      </c>
      <c r="G3" s="1567"/>
      <c r="H3" s="593"/>
      <c r="I3" s="84"/>
    </row>
    <row r="4" spans="1:10" ht="19.5" thickTop="1">
      <c r="A4" s="1563"/>
      <c r="B4" s="1563"/>
      <c r="C4" s="1563"/>
      <c r="D4" s="1563"/>
      <c r="E4" s="1563"/>
      <c r="F4" s="1563"/>
      <c r="G4" s="1567"/>
      <c r="H4" s="593"/>
      <c r="I4" s="84"/>
    </row>
    <row r="5" spans="1:10">
      <c r="A5" s="589"/>
      <c r="B5" s="589"/>
      <c r="C5" s="595"/>
      <c r="D5" s="589"/>
      <c r="E5" s="925" t="s">
        <v>763</v>
      </c>
      <c r="F5" s="597" t="str">
        <f>表紙!E2</f>
        <v>パナソニック健康保険組合　松下記念病院</v>
      </c>
      <c r="G5" s="1567"/>
      <c r="H5" s="593"/>
      <c r="I5" s="598"/>
      <c r="J5" s="177" t="s">
        <v>924</v>
      </c>
    </row>
    <row r="6" spans="1:10">
      <c r="A6" s="589"/>
      <c r="B6" s="589"/>
      <c r="C6" s="595"/>
      <c r="D6" s="589"/>
      <c r="E6" s="1140" t="s">
        <v>1637</v>
      </c>
      <c r="F6" s="599" t="str">
        <f>別紙1未充足要件!E5</f>
        <v>令和６年９月１日時点</v>
      </c>
      <c r="G6" s="1567"/>
      <c r="H6" s="593"/>
      <c r="I6" s="600"/>
      <c r="J6" s="167"/>
    </row>
    <row r="7" spans="1:10">
      <c r="A7" s="601" t="s">
        <v>926</v>
      </c>
      <c r="B7" s="589"/>
      <c r="C7" s="595"/>
      <c r="D7" s="589"/>
      <c r="E7" s="596"/>
      <c r="F7" s="602"/>
      <c r="G7" s="589"/>
      <c r="H7" s="589"/>
      <c r="I7" s="600"/>
      <c r="J7" s="167"/>
    </row>
    <row r="8" spans="1:10" ht="25.5" customHeight="1">
      <c r="A8" s="603"/>
      <c r="B8" s="1570" t="s">
        <v>1755</v>
      </c>
      <c r="C8" s="1570"/>
      <c r="D8" s="1570"/>
      <c r="E8" s="1570"/>
      <c r="F8" s="1570"/>
      <c r="G8" s="589"/>
      <c r="H8" s="589"/>
      <c r="I8" s="600"/>
      <c r="J8" s="167"/>
    </row>
    <row r="9" spans="1:10" ht="19.5" customHeight="1">
      <c r="A9" s="603"/>
      <c r="B9" s="604"/>
      <c r="C9" s="604"/>
      <c r="D9" s="604"/>
      <c r="E9" s="604"/>
      <c r="F9" s="604"/>
      <c r="G9" s="589"/>
      <c r="H9" s="589"/>
      <c r="I9" s="600"/>
      <c r="J9" s="167"/>
    </row>
    <row r="10" spans="1:10" ht="19.5" customHeight="1" thickBot="1">
      <c r="A10" s="1565" t="s">
        <v>927</v>
      </c>
      <c r="B10" s="1566"/>
      <c r="C10" s="1566"/>
      <c r="D10" s="1566"/>
      <c r="E10" s="1566"/>
      <c r="F10" s="1566"/>
      <c r="G10" s="602"/>
      <c r="H10" s="602"/>
      <c r="J10" s="167"/>
    </row>
    <row r="11" spans="1:10" ht="27" customHeight="1" thickBot="1">
      <c r="A11" s="605"/>
      <c r="B11" s="606" t="s">
        <v>928</v>
      </c>
      <c r="C11" s="606" t="s">
        <v>929</v>
      </c>
      <c r="D11" s="1568" t="s">
        <v>930</v>
      </c>
      <c r="E11" s="1568"/>
      <c r="F11" s="1568"/>
      <c r="G11" s="602"/>
      <c r="H11" s="602"/>
      <c r="J11" s="167"/>
    </row>
    <row r="12" spans="1:10" ht="21" customHeight="1" thickBot="1">
      <c r="A12" s="607" t="s">
        <v>931</v>
      </c>
      <c r="B12" s="608" t="s">
        <v>932</v>
      </c>
      <c r="C12" s="607" t="s">
        <v>933</v>
      </c>
      <c r="D12" s="1569" t="s">
        <v>934</v>
      </c>
      <c r="E12" s="1569"/>
      <c r="F12" s="1569"/>
      <c r="G12" s="602"/>
      <c r="H12" s="602"/>
      <c r="J12" s="167"/>
    </row>
    <row r="13" spans="1:10" ht="21" customHeight="1" thickBot="1">
      <c r="A13" s="609">
        <v>1</v>
      </c>
      <c r="B13" s="101" t="s">
        <v>1051</v>
      </c>
      <c r="C13" s="52" t="s">
        <v>1884</v>
      </c>
      <c r="D13" s="1564" t="s">
        <v>1885</v>
      </c>
      <c r="E13" s="1564"/>
      <c r="F13" s="1564"/>
      <c r="G13" s="602"/>
      <c r="H13" s="591" t="str">
        <f>IF(AND(B13&lt;&gt;"",C13&lt;&gt;""),"○","×")</f>
        <v>○</v>
      </c>
      <c r="J13" s="167"/>
    </row>
    <row r="14" spans="1:10" ht="21" customHeight="1" thickBot="1">
      <c r="A14" s="609">
        <v>2</v>
      </c>
      <c r="B14" s="101" t="s">
        <v>1051</v>
      </c>
      <c r="C14" s="52" t="s">
        <v>1884</v>
      </c>
      <c r="D14" s="1564" t="s">
        <v>1886</v>
      </c>
      <c r="E14" s="1564"/>
      <c r="F14" s="1564"/>
      <c r="G14" s="602"/>
      <c r="H14" s="602"/>
      <c r="J14" s="167"/>
    </row>
    <row r="15" spans="1:10" ht="21" customHeight="1" thickBot="1">
      <c r="A15" s="609">
        <v>3</v>
      </c>
      <c r="B15" s="101" t="s">
        <v>932</v>
      </c>
      <c r="C15" s="52" t="s">
        <v>1884</v>
      </c>
      <c r="D15" s="1564" t="s">
        <v>1887</v>
      </c>
      <c r="E15" s="1564"/>
      <c r="F15" s="1564"/>
      <c r="G15" s="602"/>
      <c r="H15" s="602"/>
      <c r="J15" s="167"/>
    </row>
    <row r="16" spans="1:10" ht="21" customHeight="1" thickBot="1">
      <c r="A16" s="609">
        <v>4</v>
      </c>
      <c r="B16" s="101" t="s">
        <v>1888</v>
      </c>
      <c r="C16" s="52" t="s">
        <v>1884</v>
      </c>
      <c r="D16" s="1564" t="s">
        <v>1889</v>
      </c>
      <c r="E16" s="1564"/>
      <c r="F16" s="1564"/>
      <c r="G16" s="602"/>
      <c r="H16" s="602"/>
      <c r="J16" s="167"/>
    </row>
    <row r="17" spans="1:10" ht="21" customHeight="1" thickBot="1">
      <c r="A17" s="609">
        <v>5</v>
      </c>
      <c r="B17" s="101" t="s">
        <v>1890</v>
      </c>
      <c r="C17" s="52" t="s">
        <v>1884</v>
      </c>
      <c r="D17" s="1564" t="s">
        <v>1891</v>
      </c>
      <c r="E17" s="1564"/>
      <c r="F17" s="1564"/>
      <c r="G17" s="602"/>
      <c r="H17" s="602"/>
      <c r="J17" s="167"/>
    </row>
    <row r="18" spans="1:10" ht="21" customHeight="1" thickBot="1">
      <c r="A18" s="609">
        <v>6</v>
      </c>
      <c r="B18" s="101" t="s">
        <v>271</v>
      </c>
      <c r="C18" s="52" t="s">
        <v>1884</v>
      </c>
      <c r="D18" s="1564" t="s">
        <v>1892</v>
      </c>
      <c r="E18" s="1564"/>
      <c r="F18" s="1564"/>
      <c r="G18" s="602"/>
      <c r="H18" s="602"/>
      <c r="J18" s="167"/>
    </row>
    <row r="19" spans="1:10" ht="21" customHeight="1" thickBot="1">
      <c r="A19" s="609">
        <v>7</v>
      </c>
      <c r="B19" s="101" t="s">
        <v>291</v>
      </c>
      <c r="C19" s="52" t="s">
        <v>1884</v>
      </c>
      <c r="D19" s="1564" t="s">
        <v>291</v>
      </c>
      <c r="E19" s="1564"/>
      <c r="F19" s="1564"/>
      <c r="G19" s="602"/>
      <c r="H19" s="602"/>
      <c r="J19" s="167"/>
    </row>
    <row r="20" spans="1:10" ht="21" customHeight="1" thickBot="1">
      <c r="A20" s="609">
        <v>8</v>
      </c>
      <c r="B20" s="101"/>
      <c r="C20" s="52"/>
      <c r="D20" s="1564"/>
      <c r="E20" s="1564"/>
      <c r="F20" s="1564"/>
      <c r="G20" s="602"/>
      <c r="H20" s="602"/>
      <c r="J20" s="167"/>
    </row>
    <row r="21" spans="1:10" ht="21" customHeight="1" thickBot="1">
      <c r="A21" s="609">
        <v>9</v>
      </c>
      <c r="B21" s="101"/>
      <c r="C21" s="52"/>
      <c r="D21" s="1564"/>
      <c r="E21" s="1564"/>
      <c r="F21" s="1564"/>
      <c r="G21" s="602"/>
      <c r="H21" s="602"/>
      <c r="J21" s="167"/>
    </row>
    <row r="22" spans="1:10" ht="21" customHeight="1" thickBot="1">
      <c r="A22" s="609">
        <v>10</v>
      </c>
      <c r="B22" s="101"/>
      <c r="C22" s="52"/>
      <c r="D22" s="1564"/>
      <c r="E22" s="1564"/>
      <c r="F22" s="1564"/>
      <c r="G22" s="602"/>
      <c r="H22" s="602"/>
      <c r="J22" s="167"/>
    </row>
    <row r="23" spans="1:10" ht="21" customHeight="1" thickBot="1">
      <c r="A23" s="609">
        <v>11</v>
      </c>
      <c r="B23" s="101"/>
      <c r="C23" s="52"/>
      <c r="D23" s="1564"/>
      <c r="E23" s="1564"/>
      <c r="F23" s="1564"/>
      <c r="G23" s="602"/>
      <c r="H23" s="602"/>
      <c r="J23" s="167"/>
    </row>
    <row r="24" spans="1:10" ht="21" customHeight="1" thickBot="1">
      <c r="A24" s="609">
        <v>12</v>
      </c>
      <c r="B24" s="101"/>
      <c r="C24" s="52"/>
      <c r="D24" s="1564"/>
      <c r="E24" s="1564"/>
      <c r="F24" s="1564"/>
      <c r="G24" s="602"/>
      <c r="H24" s="602"/>
      <c r="J24" s="167"/>
    </row>
    <row r="25" spans="1:10" ht="21" customHeight="1" thickBot="1">
      <c r="A25" s="609">
        <v>13</v>
      </c>
      <c r="B25" s="101"/>
      <c r="C25" s="52"/>
      <c r="D25" s="1564"/>
      <c r="E25" s="1564"/>
      <c r="F25" s="1564"/>
      <c r="G25" s="602"/>
      <c r="H25" s="602"/>
      <c r="J25" s="167"/>
    </row>
    <row r="26" spans="1:10" ht="21" customHeight="1" thickBot="1">
      <c r="A26" s="609">
        <v>14</v>
      </c>
      <c r="B26" s="101"/>
      <c r="C26" s="52"/>
      <c r="D26" s="1564"/>
      <c r="E26" s="1564"/>
      <c r="F26" s="1564"/>
      <c r="G26" s="602"/>
      <c r="H26" s="602"/>
      <c r="J26" s="167"/>
    </row>
    <row r="27" spans="1:10" ht="21" customHeight="1" thickBot="1">
      <c r="A27" s="609">
        <v>15</v>
      </c>
      <c r="B27" s="101"/>
      <c r="C27" s="52"/>
      <c r="D27" s="1564"/>
      <c r="E27" s="1564"/>
      <c r="F27" s="1564"/>
      <c r="G27" s="602"/>
      <c r="H27" s="602"/>
      <c r="J27" s="167"/>
    </row>
    <row r="28" spans="1:10">
      <c r="A28" s="589"/>
      <c r="B28" s="589"/>
      <c r="C28" s="595"/>
      <c r="D28" s="589"/>
      <c r="E28" s="589"/>
      <c r="F28" s="589"/>
      <c r="G28" s="610" t="s">
        <v>935</v>
      </c>
      <c r="H28" s="610"/>
      <c r="I28" s="611"/>
      <c r="J28" s="168"/>
    </row>
    <row r="29" spans="1:10" ht="19.5" thickBot="1">
      <c r="A29" s="8" t="s">
        <v>1747</v>
      </c>
      <c r="B29" s="1210"/>
      <c r="C29" s="1211"/>
      <c r="D29" s="1210"/>
      <c r="E29" s="1210"/>
      <c r="F29" s="1210"/>
    </row>
    <row r="30" spans="1:10" ht="19.5" thickBot="1">
      <c r="A30" s="1555" t="s">
        <v>1748</v>
      </c>
      <c r="B30" s="1555"/>
      <c r="C30" s="1555"/>
      <c r="D30" s="1212">
        <v>1</v>
      </c>
      <c r="E30" s="1213" t="s">
        <v>1893</v>
      </c>
      <c r="F30" s="1210"/>
      <c r="H30" s="591" t="str">
        <f>IF(AND(D30&lt;&gt;"",E30&lt;&gt;""),"○","×")</f>
        <v>○</v>
      </c>
    </row>
    <row r="31" spans="1:10" ht="19.5" thickBot="1">
      <c r="A31" s="1555" t="s">
        <v>1749</v>
      </c>
      <c r="B31" s="1555"/>
      <c r="C31" s="1555"/>
      <c r="D31" s="1212">
        <v>1</v>
      </c>
      <c r="E31" s="1213" t="s">
        <v>1893</v>
      </c>
      <c r="F31" s="1210"/>
      <c r="H31" s="591" t="str">
        <f>IF(AND(D31&lt;&gt;"",E31&lt;&gt;""),"○","×")</f>
        <v>○</v>
      </c>
    </row>
    <row r="32" spans="1:10">
      <c r="A32" s="1210"/>
      <c r="B32" s="1210"/>
      <c r="C32" s="1211"/>
      <c r="D32" s="1210"/>
      <c r="E32" s="1210"/>
      <c r="F32" s="1210"/>
    </row>
    <row r="33" spans="1:8" ht="19.5" thickBot="1">
      <c r="A33" s="8" t="s">
        <v>1750</v>
      </c>
      <c r="B33" s="1210"/>
      <c r="C33" s="1211"/>
      <c r="D33" s="1210"/>
      <c r="E33" s="1210"/>
      <c r="F33" s="1210"/>
    </row>
    <row r="34" spans="1:8" ht="19.5" thickBot="1">
      <c r="A34" s="1556" t="s">
        <v>1751</v>
      </c>
      <c r="B34" s="1557"/>
      <c r="C34" s="1557"/>
      <c r="D34" s="1557"/>
      <c r="E34" s="1557"/>
      <c r="F34" s="1558"/>
    </row>
    <row r="35" spans="1:8" ht="19.5" thickBot="1">
      <c r="A35" s="1556"/>
      <c r="B35" s="1557"/>
      <c r="C35" s="1557"/>
      <c r="D35" s="1557"/>
      <c r="E35" s="1557"/>
      <c r="F35" s="1558"/>
    </row>
    <row r="36" spans="1:8" ht="19.5" thickBot="1">
      <c r="A36" s="1559" t="s">
        <v>1894</v>
      </c>
      <c r="B36" s="1560"/>
      <c r="C36" s="1560"/>
      <c r="D36" s="1560"/>
      <c r="E36" s="1560"/>
      <c r="F36" s="1561"/>
      <c r="H36" s="591" t="str">
        <f>IF(A36="","×","○")</f>
        <v>○</v>
      </c>
    </row>
    <row r="37" spans="1:8" ht="19.5" thickBot="1">
      <c r="A37" s="1559"/>
      <c r="B37" s="1560"/>
      <c r="C37" s="1560"/>
      <c r="D37" s="1560"/>
      <c r="E37" s="1560"/>
      <c r="F37" s="1561"/>
    </row>
    <row r="38" spans="1:8" ht="19.5" thickBot="1">
      <c r="A38" s="1556" t="s">
        <v>1752</v>
      </c>
      <c r="B38" s="1557"/>
      <c r="C38" s="1557"/>
      <c r="D38" s="1557"/>
      <c r="E38" s="1557"/>
      <c r="F38" s="1558"/>
    </row>
    <row r="39" spans="1:8" ht="19.5" thickBot="1">
      <c r="A39" s="1556"/>
      <c r="B39" s="1557"/>
      <c r="C39" s="1557"/>
      <c r="D39" s="1557"/>
      <c r="E39" s="1557"/>
      <c r="F39" s="1558"/>
    </row>
    <row r="40" spans="1:8" ht="19.5" thickBot="1">
      <c r="A40" s="1556"/>
      <c r="B40" s="1557"/>
      <c r="C40" s="1557"/>
      <c r="D40" s="1557"/>
      <c r="E40" s="1557"/>
      <c r="F40" s="1558"/>
    </row>
    <row r="41" spans="1:8" ht="19.5" thickBot="1">
      <c r="A41" s="1552" t="s">
        <v>1895</v>
      </c>
      <c r="B41" s="1553"/>
      <c r="C41" s="1553"/>
      <c r="D41" s="1553"/>
      <c r="E41" s="1553"/>
      <c r="F41" s="1554"/>
      <c r="H41" s="591" t="str">
        <f>IF(A41="","×","○")</f>
        <v>○</v>
      </c>
    </row>
    <row r="42" spans="1:8" ht="19.5" thickBot="1">
      <c r="A42" s="1552"/>
      <c r="B42" s="1553"/>
      <c r="C42" s="1553"/>
      <c r="D42" s="1553"/>
      <c r="E42" s="1553"/>
      <c r="F42" s="1554"/>
    </row>
  </sheetData>
  <sheetProtection selectLockedCells="1"/>
  <protectedRanges>
    <protectedRange sqref="D30" name="範囲3"/>
    <protectedRange sqref="D30" name="範囲2"/>
    <protectedRange sqref="D31" name="範囲3_1"/>
    <protectedRange sqref="D31" name="範囲2_1"/>
  </protectedRanges>
  <mergeCells count="29">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 ref="A41:F42"/>
    <mergeCell ref="A30:C30"/>
    <mergeCell ref="A31:C31"/>
    <mergeCell ref="A34:F35"/>
    <mergeCell ref="A36:F37"/>
    <mergeCell ref="A38:F40"/>
  </mergeCells>
  <phoneticPr fontId="9"/>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FA9C8AD4-B12E-4CF5-B238-E144BA71E032}">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1C77CC01-0412-4A18-BC4C-C5502CD4FE21}">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I9" sqref="I9:M9"/>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6" customWidth="1"/>
    <col min="30" max="16384" width="9" style="8"/>
  </cols>
  <sheetData>
    <row r="1" spans="1:29" ht="15.95" customHeight="1" thickBot="1">
      <c r="A1" s="1322" t="s">
        <v>936</v>
      </c>
      <c r="B1" s="1322"/>
      <c r="C1" s="1322"/>
      <c r="D1" s="1322"/>
      <c r="E1" s="1322"/>
      <c r="F1" s="1322"/>
      <c r="G1" s="1322"/>
      <c r="H1" s="1322"/>
      <c r="I1" s="1322"/>
      <c r="J1" s="1322"/>
      <c r="K1" s="1322"/>
      <c r="L1" s="1322"/>
      <c r="M1" s="1322"/>
      <c r="N1" s="1322"/>
      <c r="O1" s="1322"/>
      <c r="P1" s="1322"/>
      <c r="Q1" s="1322"/>
      <c r="R1" s="1322"/>
      <c r="S1" s="1322"/>
      <c r="T1" s="1322"/>
      <c r="U1" s="1322"/>
      <c r="V1" s="1322"/>
      <c r="W1" s="1322"/>
      <c r="X1" s="1322"/>
      <c r="Y1" s="1322"/>
      <c r="Z1" s="613"/>
      <c r="AA1" s="613"/>
      <c r="AB1" s="83"/>
      <c r="AC1" s="614"/>
    </row>
    <row r="2" spans="1:29" ht="24.95" customHeight="1" thickTop="1" thickBot="1">
      <c r="A2" s="1381" t="s">
        <v>910</v>
      </c>
      <c r="B2" s="1381"/>
      <c r="C2" s="1381"/>
      <c r="D2" s="1381"/>
      <c r="E2" s="1381"/>
      <c r="F2" s="1381"/>
      <c r="G2" s="1381"/>
      <c r="H2" s="1381"/>
      <c r="I2" s="1381"/>
      <c r="J2" s="1381"/>
      <c r="K2" s="1381"/>
      <c r="L2" s="1381"/>
      <c r="M2" s="1381"/>
      <c r="N2" s="1381"/>
      <c r="O2" s="1381"/>
      <c r="P2" s="1381"/>
      <c r="Q2" s="1381"/>
      <c r="R2" s="1381"/>
      <c r="S2" s="1381"/>
      <c r="T2" s="1381"/>
      <c r="U2" s="1381"/>
      <c r="V2" s="1381"/>
      <c r="W2" s="1381"/>
      <c r="X2" s="1382"/>
      <c r="Y2" s="427" t="str">
        <f>IF(COUNTIF(AA7:AA11,"×")&gt;=1,"未入力あり","入力済")</f>
        <v>入力済</v>
      </c>
      <c r="Z2" s="1317"/>
      <c r="AA2" s="492"/>
      <c r="AB2" s="83"/>
    </row>
    <row r="3" spans="1:29"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477"/>
      <c r="X3" s="477"/>
      <c r="Y3" s="503"/>
      <c r="Z3" s="1317"/>
      <c r="AA3" s="492"/>
    </row>
    <row r="4" spans="1:29" ht="20.25" customHeight="1">
      <c r="A4" s="477"/>
      <c r="B4" s="477"/>
      <c r="C4" s="477"/>
      <c r="D4" s="477"/>
      <c r="E4" s="477"/>
      <c r="F4" s="430" t="s">
        <v>757</v>
      </c>
      <c r="G4" s="1437">
        <f>表紙!A2</f>
        <v>0</v>
      </c>
      <c r="H4" s="1438"/>
      <c r="I4" s="1438"/>
      <c r="J4" s="1438"/>
      <c r="K4" s="1438"/>
      <c r="L4" s="1438"/>
      <c r="M4" s="1438"/>
      <c r="N4" s="1438"/>
      <c r="O4" s="1438"/>
      <c r="P4" s="1438"/>
      <c r="Q4" s="1438"/>
      <c r="R4" s="1438"/>
      <c r="S4" s="1438"/>
      <c r="T4" s="1438"/>
      <c r="U4" s="1438"/>
      <c r="V4" s="1438"/>
      <c r="W4" s="1438"/>
      <c r="X4" s="1438"/>
      <c r="Y4" s="1439"/>
      <c r="Z4" s="1317"/>
      <c r="AA4" s="492"/>
      <c r="AB4" s="83"/>
    </row>
    <row r="5" spans="1:29" ht="15.75" customHeight="1">
      <c r="A5" s="477"/>
      <c r="B5" s="477"/>
      <c r="C5" s="477"/>
      <c r="D5" s="477"/>
      <c r="E5" s="477"/>
      <c r="F5" s="1139" t="s">
        <v>911</v>
      </c>
      <c r="G5" t="str">
        <f>別紙1未充足要件!E5</f>
        <v>令和６年９月１日時点</v>
      </c>
      <c r="H5"/>
      <c r="I5"/>
      <c r="J5"/>
      <c r="K5"/>
      <c r="L5" s="49"/>
      <c r="M5" s="49"/>
      <c r="N5" s="615"/>
      <c r="O5" s="615"/>
      <c r="P5" s="615"/>
      <c r="Q5" s="615"/>
      <c r="R5" s="615"/>
      <c r="S5" s="615"/>
      <c r="T5" s="615"/>
      <c r="U5" s="548"/>
      <c r="V5" s="548"/>
      <c r="W5" s="548"/>
      <c r="X5" s="548"/>
      <c r="Y5" s="548"/>
      <c r="Z5" s="1317"/>
      <c r="AA5" s="492"/>
      <c r="AB5" s="106"/>
      <c r="AC5" s="177" t="s">
        <v>234</v>
      </c>
    </row>
    <row r="6" spans="1:29" ht="20.100000000000001" customHeight="1" thickBot="1">
      <c r="A6" s="477"/>
      <c r="B6" s="477"/>
      <c r="C6" s="477"/>
      <c r="D6" s="477"/>
      <c r="E6" s="477"/>
      <c r="F6" s="477"/>
      <c r="G6" s="477"/>
      <c r="H6" s="477"/>
      <c r="I6" s="477"/>
      <c r="J6" s="477"/>
      <c r="K6" s="477"/>
      <c r="L6" s="477"/>
      <c r="M6" s="477"/>
      <c r="N6" s="51"/>
      <c r="O6" s="51"/>
      <c r="P6" s="51"/>
      <c r="Q6" s="51"/>
      <c r="R6" s="51"/>
      <c r="S6" s="51"/>
      <c r="T6" s="51"/>
      <c r="U6" s="51"/>
      <c r="V6" s="51"/>
      <c r="W6" s="51"/>
      <c r="X6" s="51"/>
      <c r="Y6" s="51"/>
      <c r="Z6" s="51"/>
      <c r="AA6" s="51"/>
      <c r="AC6" s="74"/>
    </row>
    <row r="7" spans="1:29" ht="18" customHeight="1" thickBot="1">
      <c r="A7" s="1452">
        <v>1</v>
      </c>
      <c r="B7" s="616" t="s">
        <v>937</v>
      </c>
      <c r="C7" s="617"/>
      <c r="D7" s="617"/>
      <c r="E7" s="617"/>
      <c r="F7" s="618"/>
      <c r="G7" s="618"/>
      <c r="H7" s="619"/>
      <c r="I7" s="1573" t="s">
        <v>1808</v>
      </c>
      <c r="J7" s="1574"/>
      <c r="K7" s="1574"/>
      <c r="L7" s="1574"/>
      <c r="M7" s="1575"/>
      <c r="N7" s="1576" t="s">
        <v>510</v>
      </c>
      <c r="O7" s="1577"/>
      <c r="P7" s="1577"/>
      <c r="Q7" s="1577"/>
      <c r="R7" s="1577"/>
      <c r="S7" s="1577"/>
      <c r="T7" s="1577"/>
      <c r="U7" s="620"/>
      <c r="V7" s="599"/>
      <c r="W7" s="599"/>
      <c r="X7" s="599"/>
      <c r="Y7" s="621"/>
      <c r="Z7" s="622"/>
      <c r="AA7" s="623" t="str">
        <f>IF(I7="","×","○")</f>
        <v>○</v>
      </c>
      <c r="AC7" s="163"/>
    </row>
    <row r="8" spans="1:29" ht="18" customHeight="1" thickBot="1">
      <c r="A8" s="1453"/>
      <c r="B8" s="624" t="s">
        <v>938</v>
      </c>
      <c r="C8" s="625"/>
      <c r="D8" s="625"/>
      <c r="E8" s="625"/>
      <c r="F8" s="544"/>
      <c r="G8" s="544"/>
      <c r="H8" s="545"/>
      <c r="I8" s="1573" t="s">
        <v>1808</v>
      </c>
      <c r="J8" s="1574"/>
      <c r="K8" s="1574"/>
      <c r="L8" s="1574"/>
      <c r="M8" s="1575"/>
      <c r="N8" s="1571" t="s">
        <v>510</v>
      </c>
      <c r="O8" s="1572"/>
      <c r="P8" s="1572"/>
      <c r="Q8" s="1572"/>
      <c r="R8" s="1572"/>
      <c r="S8" s="1572"/>
      <c r="T8" s="1572"/>
      <c r="U8" s="51"/>
      <c r="V8" s="49"/>
      <c r="W8" s="49"/>
      <c r="X8" s="49"/>
      <c r="Y8" s="626"/>
      <c r="Z8" s="622"/>
      <c r="AA8" s="623" t="str">
        <f>IF(AND(I7="はい",I8=""),"×","○")</f>
        <v>○</v>
      </c>
      <c r="AC8" s="163"/>
    </row>
    <row r="9" spans="1:29" ht="31.5" customHeight="1" thickBot="1">
      <c r="A9" s="1431">
        <v>2</v>
      </c>
      <c r="B9" s="1578" t="s">
        <v>939</v>
      </c>
      <c r="C9" s="1579"/>
      <c r="D9" s="1579"/>
      <c r="E9" s="1579"/>
      <c r="F9" s="1579"/>
      <c r="G9" s="1579"/>
      <c r="H9" s="1580"/>
      <c r="I9" s="1573" t="s">
        <v>1896</v>
      </c>
      <c r="J9" s="1574"/>
      <c r="K9" s="1574"/>
      <c r="L9" s="1574"/>
      <c r="M9" s="1575"/>
      <c r="N9" s="1571" t="s">
        <v>510</v>
      </c>
      <c r="O9" s="1572"/>
      <c r="P9" s="1572"/>
      <c r="Q9" s="1572"/>
      <c r="R9" s="1572"/>
      <c r="S9" s="1572"/>
      <c r="T9" s="1572"/>
      <c r="V9" s="49"/>
      <c r="W9" s="49"/>
      <c r="X9" s="49"/>
      <c r="Y9" s="626"/>
      <c r="Z9" s="51"/>
      <c r="AA9" s="623" t="str">
        <f>IF(AND(I7="はい",I9=""),"×","○")</f>
        <v>○</v>
      </c>
      <c r="AC9" s="163"/>
    </row>
    <row r="10" spans="1:29" ht="13.5">
      <c r="A10" s="1432"/>
      <c r="B10" s="520" t="s">
        <v>940</v>
      </c>
      <c r="C10" s="521"/>
      <c r="D10" s="521"/>
      <c r="E10" s="521"/>
      <c r="F10" s="521"/>
      <c r="G10" s="521"/>
      <c r="H10" s="521"/>
      <c r="I10" s="627"/>
      <c r="J10" s="627"/>
      <c r="K10" s="627"/>
      <c r="L10" s="627"/>
      <c r="M10" s="627"/>
      <c r="N10" s="521"/>
      <c r="O10" s="521"/>
      <c r="P10" s="521"/>
      <c r="Q10" s="521"/>
      <c r="R10" s="521"/>
      <c r="S10" s="521"/>
      <c r="T10" s="521"/>
      <c r="U10" s="521"/>
      <c r="V10" s="521"/>
      <c r="W10" s="521"/>
      <c r="X10" s="536"/>
      <c r="Y10" s="626"/>
      <c r="Z10" s="51"/>
      <c r="AA10" s="628"/>
      <c r="AC10" s="74"/>
    </row>
    <row r="11" spans="1:29">
      <c r="A11" s="1432"/>
      <c r="B11" s="1581"/>
      <c r="C11" s="1582"/>
      <c r="D11" s="1582"/>
      <c r="E11" s="1582"/>
      <c r="F11" s="1582"/>
      <c r="G11" s="1582"/>
      <c r="H11" s="1582"/>
      <c r="I11" s="1582"/>
      <c r="J11" s="1582"/>
      <c r="K11" s="1582"/>
      <c r="L11" s="1582"/>
      <c r="M11" s="1582"/>
      <c r="N11" s="1582"/>
      <c r="O11" s="1582"/>
      <c r="P11" s="1582"/>
      <c r="Q11" s="1582"/>
      <c r="R11" s="1582"/>
      <c r="S11" s="1582"/>
      <c r="T11" s="1582"/>
      <c r="U11" s="1582"/>
      <c r="V11" s="1582"/>
      <c r="W11" s="1582"/>
      <c r="X11" s="1583"/>
      <c r="Y11" s="629"/>
      <c r="Z11" s="51"/>
      <c r="AA11" s="628" t="str">
        <f>IF(AND(I9="はい",B11=""),"×","○")</f>
        <v>○</v>
      </c>
      <c r="AC11" s="74"/>
    </row>
    <row r="12" spans="1:29">
      <c r="A12" s="1432"/>
      <c r="B12" s="1584"/>
      <c r="C12" s="1585"/>
      <c r="D12" s="1585"/>
      <c r="E12" s="1585"/>
      <c r="F12" s="1585"/>
      <c r="G12" s="1585"/>
      <c r="H12" s="1585"/>
      <c r="I12" s="1585"/>
      <c r="J12" s="1585"/>
      <c r="K12" s="1585"/>
      <c r="L12" s="1585"/>
      <c r="M12" s="1585"/>
      <c r="N12" s="1585"/>
      <c r="O12" s="1585"/>
      <c r="P12" s="1585"/>
      <c r="Q12" s="1585"/>
      <c r="R12" s="1585"/>
      <c r="S12" s="1585"/>
      <c r="T12" s="1585"/>
      <c r="U12" s="1585"/>
      <c r="V12" s="1585"/>
      <c r="W12" s="1585"/>
      <c r="X12" s="1586"/>
      <c r="Y12" s="629"/>
      <c r="Z12" s="51"/>
      <c r="AA12" s="51"/>
      <c r="AC12" s="74"/>
    </row>
    <row r="13" spans="1:29">
      <c r="A13" s="1432"/>
      <c r="B13" s="1584"/>
      <c r="C13" s="1585"/>
      <c r="D13" s="1585"/>
      <c r="E13" s="1585"/>
      <c r="F13" s="1585"/>
      <c r="G13" s="1585"/>
      <c r="H13" s="1585"/>
      <c r="I13" s="1585"/>
      <c r="J13" s="1585"/>
      <c r="K13" s="1585"/>
      <c r="L13" s="1585"/>
      <c r="M13" s="1585"/>
      <c r="N13" s="1585"/>
      <c r="O13" s="1585"/>
      <c r="P13" s="1585"/>
      <c r="Q13" s="1585"/>
      <c r="R13" s="1585"/>
      <c r="S13" s="1585"/>
      <c r="T13" s="1585"/>
      <c r="U13" s="1585"/>
      <c r="V13" s="1585"/>
      <c r="W13" s="1585"/>
      <c r="X13" s="1586"/>
      <c r="Y13" s="629"/>
      <c r="Z13" s="51"/>
      <c r="AA13" s="51"/>
      <c r="AC13" s="74"/>
    </row>
    <row r="14" spans="1:29">
      <c r="A14" s="1432"/>
      <c r="B14" s="1584"/>
      <c r="C14" s="1585"/>
      <c r="D14" s="1585"/>
      <c r="E14" s="1585"/>
      <c r="F14" s="1585"/>
      <c r="G14" s="1585"/>
      <c r="H14" s="1585"/>
      <c r="I14" s="1585"/>
      <c r="J14" s="1585"/>
      <c r="K14" s="1585"/>
      <c r="L14" s="1585"/>
      <c r="M14" s="1585"/>
      <c r="N14" s="1585"/>
      <c r="O14" s="1585"/>
      <c r="P14" s="1585"/>
      <c r="Q14" s="1585"/>
      <c r="R14" s="1585"/>
      <c r="S14" s="1585"/>
      <c r="T14" s="1585"/>
      <c r="U14" s="1585"/>
      <c r="V14" s="1585"/>
      <c r="W14" s="1585"/>
      <c r="X14" s="1586"/>
      <c r="Y14" s="629"/>
      <c r="Z14" s="51"/>
      <c r="AA14" s="51"/>
      <c r="AC14" s="74"/>
    </row>
    <row r="15" spans="1:29">
      <c r="A15" s="1433"/>
      <c r="B15" s="1587"/>
      <c r="C15" s="1588"/>
      <c r="D15" s="1588"/>
      <c r="E15" s="1588"/>
      <c r="F15" s="1588"/>
      <c r="G15" s="1588"/>
      <c r="H15" s="1588"/>
      <c r="I15" s="1588"/>
      <c r="J15" s="1588"/>
      <c r="K15" s="1588"/>
      <c r="L15" s="1588"/>
      <c r="M15" s="1588"/>
      <c r="N15" s="1588"/>
      <c r="O15" s="1588"/>
      <c r="P15" s="1588"/>
      <c r="Q15" s="1588"/>
      <c r="R15" s="1588"/>
      <c r="S15" s="1588"/>
      <c r="T15" s="1588"/>
      <c r="U15" s="1588"/>
      <c r="V15" s="1588"/>
      <c r="W15" s="1588"/>
      <c r="X15" s="1589"/>
      <c r="Y15" s="630"/>
      <c r="Z15" s="51"/>
      <c r="AA15" s="51"/>
      <c r="AC15" s="151"/>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9"/>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topLeftCell="A19" zoomScaleNormal="100" zoomScaleSheetLayoutView="100" workbookViewId="0">
      <selection activeCell="B26" sqref="B26:Y26"/>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6" customWidth="1"/>
    <col min="30" max="16384" width="9" style="8"/>
  </cols>
  <sheetData>
    <row r="1" spans="1:29" ht="15.95" customHeight="1" thickBot="1">
      <c r="A1" s="1322" t="s">
        <v>941</v>
      </c>
      <c r="B1" s="1322"/>
      <c r="C1" s="1322"/>
      <c r="D1" s="1322"/>
      <c r="E1" s="1322"/>
      <c r="F1" s="1322"/>
      <c r="G1" s="1322"/>
      <c r="H1" s="1322"/>
      <c r="I1" s="1322"/>
      <c r="J1" s="1322"/>
      <c r="K1" s="1322"/>
      <c r="L1" s="1322"/>
      <c r="M1" s="1322"/>
      <c r="N1" s="1322"/>
      <c r="O1" s="1322"/>
      <c r="P1" s="1322"/>
      <c r="Q1" s="1322"/>
      <c r="R1" s="1322"/>
      <c r="S1" s="1322"/>
      <c r="T1" s="1322"/>
      <c r="U1" s="1322"/>
      <c r="V1" s="1322"/>
      <c r="W1" s="1322"/>
      <c r="X1" s="1322"/>
      <c r="Y1" s="1322"/>
      <c r="Z1" s="613"/>
      <c r="AA1" s="613"/>
      <c r="AB1" s="83"/>
      <c r="AC1" s="614"/>
    </row>
    <row r="2" spans="1:29" ht="24.95" customHeight="1" thickTop="1" thickBot="1">
      <c r="A2" s="1381" t="s">
        <v>865</v>
      </c>
      <c r="B2" s="1381"/>
      <c r="C2" s="1381"/>
      <c r="D2" s="1381"/>
      <c r="E2" s="1381"/>
      <c r="F2" s="1381"/>
      <c r="G2" s="1381"/>
      <c r="H2" s="1381"/>
      <c r="I2" s="1381"/>
      <c r="J2" s="1381"/>
      <c r="K2" s="1381"/>
      <c r="L2" s="1381"/>
      <c r="M2" s="1381"/>
      <c r="N2" s="1381"/>
      <c r="O2" s="1381"/>
      <c r="P2" s="1381"/>
      <c r="Q2" s="1381"/>
      <c r="R2" s="1381"/>
      <c r="S2" s="1381"/>
      <c r="T2" s="1381"/>
      <c r="U2" s="1381"/>
      <c r="V2" s="1381"/>
      <c r="W2" s="1381"/>
      <c r="X2" s="1382"/>
      <c r="Y2" s="427" t="str">
        <f>IF(COUNTIF(AA6:AA28,"×")&gt;=1,"未入力あり","入力済")</f>
        <v>入力済</v>
      </c>
      <c r="Z2" s="1317"/>
      <c r="AA2" s="492"/>
      <c r="AB2" s="83"/>
    </row>
    <row r="3" spans="1:29"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477"/>
      <c r="X3" s="477"/>
      <c r="Y3" s="503"/>
      <c r="Z3" s="1317"/>
      <c r="AA3" s="492"/>
    </row>
    <row r="4" spans="1:29" ht="20.25" customHeight="1">
      <c r="A4" s="477"/>
      <c r="B4" s="477"/>
      <c r="C4" s="477"/>
      <c r="D4" s="477"/>
      <c r="E4" s="477"/>
      <c r="F4" s="430" t="s">
        <v>757</v>
      </c>
      <c r="G4" s="1437" t="str">
        <f>表紙!E2</f>
        <v>パナソニック健康保険組合　松下記念病院</v>
      </c>
      <c r="H4" s="1438"/>
      <c r="I4" s="1438"/>
      <c r="J4" s="1438"/>
      <c r="K4" s="1438"/>
      <c r="L4" s="1438"/>
      <c r="M4" s="1438"/>
      <c r="N4" s="1438"/>
      <c r="O4" s="1438"/>
      <c r="P4" s="1438"/>
      <c r="Q4" s="1438"/>
      <c r="R4" s="1438"/>
      <c r="S4" s="1438"/>
      <c r="T4" s="1438"/>
      <c r="U4" s="1438"/>
      <c r="V4" s="1438"/>
      <c r="W4" s="1438"/>
      <c r="X4" s="1438"/>
      <c r="Y4" s="1439"/>
      <c r="Z4" s="1317"/>
      <c r="AA4" s="492"/>
      <c r="AB4" s="83"/>
    </row>
    <row r="5" spans="1:29" ht="15.75" customHeight="1">
      <c r="A5" s="477"/>
      <c r="B5" s="477"/>
      <c r="C5" s="477"/>
      <c r="D5" s="477"/>
      <c r="E5" s="477"/>
      <c r="F5" s="1139" t="s">
        <v>911</v>
      </c>
      <c r="G5" t="str">
        <f>別紙1未充足要件!E5</f>
        <v>令和６年９月１日時点</v>
      </c>
      <c r="H5"/>
      <c r="I5"/>
      <c r="J5"/>
      <c r="K5"/>
      <c r="L5"/>
      <c r="M5"/>
      <c r="N5" s="547"/>
      <c r="O5" s="547"/>
      <c r="P5" s="547"/>
      <c r="Q5" s="547"/>
      <c r="R5" s="548"/>
      <c r="S5" s="548"/>
      <c r="T5" s="548"/>
      <c r="U5" s="548"/>
      <c r="V5" s="548"/>
      <c r="W5" s="548"/>
      <c r="X5" s="548"/>
      <c r="Y5" s="548"/>
      <c r="Z5" s="1317"/>
      <c r="AA5" s="492"/>
      <c r="AB5" s="106"/>
      <c r="AC5" s="177" t="s">
        <v>234</v>
      </c>
    </row>
    <row r="6" spans="1:29" ht="20.100000000000001" customHeight="1" thickBot="1">
      <c r="A6" s="477"/>
      <c r="B6" s="477"/>
      <c r="C6" s="477"/>
      <c r="D6" s="477"/>
      <c r="E6" s="477"/>
      <c r="F6" s="477"/>
      <c r="G6" s="477"/>
      <c r="H6" s="477"/>
      <c r="I6" s="477"/>
      <c r="J6" s="477"/>
      <c r="K6" s="477"/>
      <c r="L6" s="477"/>
      <c r="M6" s="477"/>
      <c r="N6" s="477"/>
      <c r="O6" s="477"/>
      <c r="P6" s="631"/>
      <c r="Q6" s="631"/>
      <c r="R6" s="631"/>
      <c r="S6" s="631"/>
      <c r="T6" s="631"/>
      <c r="U6" s="631"/>
      <c r="V6" s="477"/>
      <c r="W6" s="477"/>
      <c r="X6" s="477"/>
      <c r="Y6" s="477"/>
      <c r="AC6" s="163"/>
    </row>
    <row r="7" spans="1:29" ht="18" customHeight="1" thickBot="1">
      <c r="A7" s="1590">
        <v>1</v>
      </c>
      <c r="B7" s="616" t="s">
        <v>942</v>
      </c>
      <c r="C7" s="617"/>
      <c r="D7" s="617"/>
      <c r="E7" s="617"/>
      <c r="F7" s="618"/>
      <c r="G7" s="618"/>
      <c r="H7" s="618"/>
      <c r="I7" s="617"/>
      <c r="J7" s="617"/>
      <c r="K7" s="617"/>
      <c r="L7" s="617"/>
      <c r="M7" s="617"/>
      <c r="N7" s="617"/>
      <c r="O7" s="617"/>
      <c r="P7" s="632"/>
      <c r="Q7" s="1573" t="s">
        <v>1808</v>
      </c>
      <c r="R7" s="1574"/>
      <c r="S7" s="1574"/>
      <c r="T7" s="1574"/>
      <c r="U7" s="1575"/>
      <c r="V7" s="551" t="s">
        <v>943</v>
      </c>
      <c r="W7" s="551"/>
      <c r="X7" s="551"/>
      <c r="Y7" s="552"/>
      <c r="Z7" s="633"/>
      <c r="AA7" s="8" t="str">
        <f>IF(Q7="","×","○")</f>
        <v>○</v>
      </c>
      <c r="AC7" s="74"/>
    </row>
    <row r="8" spans="1:29" ht="18" customHeight="1">
      <c r="A8" s="1367"/>
      <c r="B8" s="616" t="s">
        <v>944</v>
      </c>
      <c r="C8" s="617"/>
      <c r="D8" s="617"/>
      <c r="E8" s="617"/>
      <c r="F8" s="618"/>
      <c r="G8" s="618"/>
      <c r="H8" s="618"/>
      <c r="I8" s="618"/>
      <c r="J8" s="618"/>
      <c r="K8" s="618"/>
      <c r="L8" s="618"/>
      <c r="M8" s="618"/>
      <c r="N8" s="618"/>
      <c r="O8" s="618"/>
      <c r="P8" s="527"/>
      <c r="Q8" s="527"/>
      <c r="R8" s="527"/>
      <c r="S8" s="527"/>
      <c r="T8" s="527"/>
      <c r="U8" s="527"/>
      <c r="V8" s="618"/>
      <c r="W8" s="618"/>
      <c r="X8" s="618"/>
      <c r="Y8" s="634"/>
      <c r="Z8" s="445"/>
      <c r="AA8" s="587"/>
      <c r="AC8" s="74"/>
    </row>
    <row r="9" spans="1:29" ht="18" customHeight="1" thickBot="1">
      <c r="A9" s="1367"/>
      <c r="B9" s="635" t="s">
        <v>945</v>
      </c>
      <c r="C9" s="636" t="s">
        <v>946</v>
      </c>
      <c r="D9" s="636"/>
      <c r="E9" s="636"/>
      <c r="F9" s="637"/>
      <c r="G9" s="637"/>
      <c r="H9" s="637"/>
      <c r="I9" s="637"/>
      <c r="J9" s="637"/>
      <c r="K9" s="637"/>
      <c r="L9" s="637"/>
      <c r="M9" s="637"/>
      <c r="N9" s="637"/>
      <c r="O9" s="637"/>
      <c r="P9" s="637"/>
      <c r="Q9" s="637"/>
      <c r="R9" s="637"/>
      <c r="S9" s="637"/>
      <c r="T9" s="637"/>
      <c r="U9" s="637"/>
      <c r="V9" s="637"/>
      <c r="W9" s="637"/>
      <c r="X9" s="637"/>
      <c r="Y9" s="638"/>
      <c r="Z9" s="445"/>
      <c r="AA9" s="587"/>
      <c r="AC9" s="74"/>
    </row>
    <row r="10" spans="1:29" ht="53.25" customHeight="1" thickBot="1">
      <c r="A10" s="1367"/>
      <c r="B10" s="1597" t="s">
        <v>1897</v>
      </c>
      <c r="C10" s="1598"/>
      <c r="D10" s="1598"/>
      <c r="E10" s="1598"/>
      <c r="F10" s="1598"/>
      <c r="G10" s="1598"/>
      <c r="H10" s="1598"/>
      <c r="I10" s="1598"/>
      <c r="J10" s="1598"/>
      <c r="K10" s="1598"/>
      <c r="L10" s="1598"/>
      <c r="M10" s="1598"/>
      <c r="N10" s="1598"/>
      <c r="O10" s="1598"/>
      <c r="P10" s="1598"/>
      <c r="Q10" s="1598"/>
      <c r="R10" s="1598"/>
      <c r="S10" s="1598"/>
      <c r="T10" s="1598"/>
      <c r="U10" s="1598"/>
      <c r="V10" s="1598"/>
      <c r="W10" s="1598"/>
      <c r="X10" s="1598"/>
      <c r="Y10" s="1599"/>
      <c r="Z10" s="445"/>
      <c r="AA10" s="587" t="str">
        <f>IF(AND(Q7="はい",B10=""),"×","○")</f>
        <v>○</v>
      </c>
      <c r="AC10" s="74"/>
    </row>
    <row r="11" spans="1:29" ht="18" customHeight="1" thickBot="1">
      <c r="A11" s="1367"/>
      <c r="B11" s="639" t="s">
        <v>947</v>
      </c>
      <c r="C11" s="640"/>
      <c r="D11" s="640"/>
      <c r="E11" s="640"/>
      <c r="F11" s="527"/>
      <c r="G11" s="527"/>
      <c r="H11" s="528"/>
      <c r="I11" s="641"/>
      <c r="J11" s="641"/>
      <c r="K11" s="641"/>
      <c r="L11" s="641"/>
      <c r="M11" s="641"/>
      <c r="N11" s="641"/>
      <c r="O11" s="640"/>
      <c r="P11" s="527"/>
      <c r="Q11" s="527"/>
      <c r="R11" s="527"/>
      <c r="S11" s="642"/>
      <c r="T11" s="641"/>
      <c r="U11" s="640"/>
      <c r="V11" s="527"/>
      <c r="W11" s="527"/>
      <c r="X11" s="527"/>
      <c r="Y11" s="642"/>
      <c r="Z11" s="633"/>
      <c r="AA11" s="587"/>
      <c r="AC11" s="74"/>
    </row>
    <row r="12" spans="1:29" ht="53.25" customHeight="1" thickBot="1">
      <c r="A12" s="1591"/>
      <c r="B12" s="1597" t="s">
        <v>1898</v>
      </c>
      <c r="C12" s="1598"/>
      <c r="D12" s="1598"/>
      <c r="E12" s="1598"/>
      <c r="F12" s="1598"/>
      <c r="G12" s="1598"/>
      <c r="H12" s="1598"/>
      <c r="I12" s="1598"/>
      <c r="J12" s="1598"/>
      <c r="K12" s="1598"/>
      <c r="L12" s="1598"/>
      <c r="M12" s="1598"/>
      <c r="N12" s="1598"/>
      <c r="O12" s="1598"/>
      <c r="P12" s="1598"/>
      <c r="Q12" s="1598"/>
      <c r="R12" s="1598"/>
      <c r="S12" s="1598"/>
      <c r="T12" s="1598"/>
      <c r="U12" s="1598"/>
      <c r="V12" s="1598"/>
      <c r="W12" s="1598"/>
      <c r="X12" s="1598"/>
      <c r="Y12" s="1599"/>
      <c r="Z12" s="445"/>
      <c r="AA12" s="587" t="str">
        <f>IF(AND(Q7="いいえ",B12=""),"×","○")</f>
        <v>○</v>
      </c>
      <c r="AC12" s="74"/>
    </row>
    <row r="13" spans="1:29" ht="18" customHeight="1" thickBot="1">
      <c r="A13" s="1592">
        <v>2</v>
      </c>
      <c r="B13" s="639" t="s">
        <v>948</v>
      </c>
      <c r="C13" s="640"/>
      <c r="D13" s="640"/>
      <c r="E13" s="640"/>
      <c r="F13" s="527"/>
      <c r="G13" s="527"/>
      <c r="H13" s="527"/>
      <c r="I13" s="640"/>
      <c r="J13" s="640"/>
      <c r="K13" s="640"/>
      <c r="L13" s="640"/>
      <c r="M13" s="640"/>
      <c r="N13" s="640"/>
      <c r="O13" s="640"/>
      <c r="P13" s="640"/>
      <c r="Q13" s="1573" t="s">
        <v>1809</v>
      </c>
      <c r="R13" s="1574"/>
      <c r="S13" s="1574"/>
      <c r="T13" s="1574"/>
      <c r="U13" s="1575"/>
      <c r="V13" s="426" t="s">
        <v>943</v>
      </c>
      <c r="W13" s="426"/>
      <c r="X13" s="426"/>
      <c r="Y13" s="553"/>
      <c r="Z13" s="633"/>
      <c r="AA13" s="8" t="str">
        <f>IF(Q13="","×","○")</f>
        <v>○</v>
      </c>
      <c r="AC13" s="74"/>
    </row>
    <row r="14" spans="1:29" ht="18" customHeight="1" thickBot="1">
      <c r="A14" s="1592"/>
      <c r="B14" s="616" t="s">
        <v>949</v>
      </c>
      <c r="C14" s="617"/>
      <c r="D14" s="617"/>
      <c r="E14" s="617"/>
      <c r="F14" s="618"/>
      <c r="G14" s="618"/>
      <c r="H14" s="618"/>
      <c r="I14" s="618"/>
      <c r="J14" s="618"/>
      <c r="K14" s="618"/>
      <c r="L14" s="618"/>
      <c r="M14" s="618"/>
      <c r="N14" s="618"/>
      <c r="O14" s="618"/>
      <c r="P14" s="618"/>
      <c r="Q14" s="527"/>
      <c r="R14" s="527"/>
      <c r="S14" s="527"/>
      <c r="T14" s="527"/>
      <c r="U14" s="527"/>
      <c r="V14" s="618"/>
      <c r="W14" s="618"/>
      <c r="X14" s="618"/>
      <c r="Y14" s="634"/>
      <c r="Z14" s="633"/>
      <c r="AA14" s="587"/>
      <c r="AC14" s="74"/>
    </row>
    <row r="15" spans="1:29" ht="53.25" customHeight="1" thickBot="1">
      <c r="A15" s="1593"/>
      <c r="B15" s="1597"/>
      <c r="C15" s="1598"/>
      <c r="D15" s="1598"/>
      <c r="E15" s="1598"/>
      <c r="F15" s="1598"/>
      <c r="G15" s="1598"/>
      <c r="H15" s="1598"/>
      <c r="I15" s="1598"/>
      <c r="J15" s="1598"/>
      <c r="K15" s="1598"/>
      <c r="L15" s="1598"/>
      <c r="M15" s="1598"/>
      <c r="N15" s="1598"/>
      <c r="O15" s="1598"/>
      <c r="P15" s="1598"/>
      <c r="Q15" s="1598"/>
      <c r="R15" s="1598"/>
      <c r="S15" s="1598"/>
      <c r="T15" s="1598"/>
      <c r="U15" s="1598"/>
      <c r="V15" s="1598"/>
      <c r="W15" s="1598"/>
      <c r="X15" s="1598"/>
      <c r="Y15" s="1599"/>
      <c r="Z15" s="445"/>
      <c r="AA15" s="587" t="str">
        <f>IF(AND(Q13="はい",B15=""),"×","○")</f>
        <v>○</v>
      </c>
      <c r="AC15" s="74"/>
    </row>
    <row r="16" spans="1:29" ht="18" customHeight="1" thickBot="1">
      <c r="A16" s="1592">
        <v>3</v>
      </c>
      <c r="B16" s="639" t="s">
        <v>950</v>
      </c>
      <c r="C16" s="640"/>
      <c r="D16" s="640"/>
      <c r="E16" s="640"/>
      <c r="F16" s="527"/>
      <c r="G16" s="527"/>
      <c r="H16" s="527"/>
      <c r="I16" s="640"/>
      <c r="J16" s="640"/>
      <c r="K16" s="640"/>
      <c r="L16" s="640"/>
      <c r="M16" s="640"/>
      <c r="N16" s="640"/>
      <c r="O16" s="640"/>
      <c r="P16" s="640"/>
      <c r="Q16" s="1573" t="s">
        <v>1809</v>
      </c>
      <c r="R16" s="1574"/>
      <c r="S16" s="1574"/>
      <c r="T16" s="1574"/>
      <c r="U16" s="1575"/>
      <c r="V16" s="1600" t="s">
        <v>943</v>
      </c>
      <c r="W16" s="1600"/>
      <c r="X16" s="1600"/>
      <c r="Y16" s="1601"/>
      <c r="Z16" s="633"/>
      <c r="AA16" s="8" t="str">
        <f>IF(Q16="","×","○")</f>
        <v>○</v>
      </c>
      <c r="AC16" s="74"/>
    </row>
    <row r="17" spans="1:29" ht="18" customHeight="1" thickBot="1">
      <c r="A17" s="1592"/>
      <c r="B17" s="616" t="s">
        <v>951</v>
      </c>
      <c r="C17" s="617"/>
      <c r="D17" s="617"/>
      <c r="E17" s="617"/>
      <c r="F17" s="618"/>
      <c r="G17" s="618"/>
      <c r="H17" s="618"/>
      <c r="I17" s="618"/>
      <c r="J17" s="618"/>
      <c r="K17" s="618"/>
      <c r="L17" s="618"/>
      <c r="M17" s="618"/>
      <c r="N17" s="618"/>
      <c r="O17" s="618"/>
      <c r="P17" s="618"/>
      <c r="Q17" s="527"/>
      <c r="R17" s="527"/>
      <c r="S17" s="527"/>
      <c r="T17" s="527"/>
      <c r="U17" s="527"/>
      <c r="V17" s="618"/>
      <c r="W17" s="618"/>
      <c r="X17" s="618"/>
      <c r="Y17" s="634"/>
      <c r="AC17" s="74"/>
    </row>
    <row r="18" spans="1:29" ht="53.25" customHeight="1" thickBot="1">
      <c r="A18" s="1593"/>
      <c r="B18" s="1597"/>
      <c r="C18" s="1598"/>
      <c r="D18" s="1598"/>
      <c r="E18" s="1598"/>
      <c r="F18" s="1598"/>
      <c r="G18" s="1598"/>
      <c r="H18" s="1598"/>
      <c r="I18" s="1598"/>
      <c r="J18" s="1598"/>
      <c r="K18" s="1598"/>
      <c r="L18" s="1598"/>
      <c r="M18" s="1598"/>
      <c r="N18" s="1598"/>
      <c r="O18" s="1598"/>
      <c r="P18" s="1598"/>
      <c r="Q18" s="1598"/>
      <c r="R18" s="1598"/>
      <c r="S18" s="1598"/>
      <c r="T18" s="1598"/>
      <c r="U18" s="1598"/>
      <c r="V18" s="1598"/>
      <c r="W18" s="1598"/>
      <c r="X18" s="1598"/>
      <c r="Y18" s="1599"/>
      <c r="Z18" s="445"/>
      <c r="AA18" s="587" t="str">
        <f>IF(AND(Q16="はい",B18=""),"×","○")</f>
        <v>○</v>
      </c>
      <c r="AC18" s="74"/>
    </row>
    <row r="19" spans="1:29" ht="18" customHeight="1" thickBot="1">
      <c r="A19" s="1590">
        <v>4</v>
      </c>
      <c r="B19" s="616" t="s">
        <v>1722</v>
      </c>
      <c r="C19" s="617"/>
      <c r="D19" s="617"/>
      <c r="E19" s="617"/>
      <c r="F19" s="618"/>
      <c r="G19" s="618"/>
      <c r="H19" s="618"/>
      <c r="I19" s="618"/>
      <c r="J19" s="618"/>
      <c r="K19" s="618"/>
      <c r="L19" s="618"/>
      <c r="M19" s="618"/>
      <c r="N19" s="618"/>
      <c r="O19" s="618"/>
      <c r="P19" s="618"/>
      <c r="Q19" s="527"/>
      <c r="R19" s="527"/>
      <c r="S19" s="527"/>
      <c r="T19" s="527"/>
      <c r="U19" s="527"/>
      <c r="V19" s="618"/>
      <c r="W19" s="618"/>
      <c r="X19" s="618"/>
      <c r="Y19" s="634"/>
      <c r="AC19" s="74"/>
    </row>
    <row r="20" spans="1:29" ht="53.25" customHeight="1" thickBot="1">
      <c r="A20" s="1591"/>
      <c r="B20" s="1597" t="s">
        <v>1899</v>
      </c>
      <c r="C20" s="1598"/>
      <c r="D20" s="1598"/>
      <c r="E20" s="1598"/>
      <c r="F20" s="1598"/>
      <c r="G20" s="1598"/>
      <c r="H20" s="1598"/>
      <c r="I20" s="1598"/>
      <c r="J20" s="1598"/>
      <c r="K20" s="1598"/>
      <c r="L20" s="1598"/>
      <c r="M20" s="1598"/>
      <c r="N20" s="1598"/>
      <c r="O20" s="1598"/>
      <c r="P20" s="1598"/>
      <c r="Q20" s="1598"/>
      <c r="R20" s="1598"/>
      <c r="S20" s="1598"/>
      <c r="T20" s="1598"/>
      <c r="U20" s="1598"/>
      <c r="V20" s="1598"/>
      <c r="W20" s="1598"/>
      <c r="X20" s="1598"/>
      <c r="Y20" s="1599"/>
      <c r="Z20" s="445"/>
      <c r="AC20" s="74"/>
    </row>
    <row r="21" spans="1:29" ht="18" customHeight="1" thickBot="1">
      <c r="A21" s="1590">
        <v>5</v>
      </c>
      <c r="B21" s="616" t="s">
        <v>952</v>
      </c>
      <c r="C21" s="617"/>
      <c r="D21" s="617"/>
      <c r="E21" s="617"/>
      <c r="F21" s="618"/>
      <c r="G21" s="618"/>
      <c r="H21" s="618"/>
      <c r="I21" s="618"/>
      <c r="J21" s="618"/>
      <c r="K21" s="618"/>
      <c r="L21" s="618"/>
      <c r="M21" s="618"/>
      <c r="N21" s="618"/>
      <c r="O21" s="618"/>
      <c r="P21" s="618"/>
      <c r="Q21" s="527"/>
      <c r="R21" s="527"/>
      <c r="S21" s="527"/>
      <c r="T21" s="527"/>
      <c r="U21" s="527"/>
      <c r="V21" s="618"/>
      <c r="W21" s="618"/>
      <c r="X21" s="618"/>
      <c r="Y21" s="634"/>
      <c r="AC21" s="74"/>
    </row>
    <row r="22" spans="1:29" ht="53.25" customHeight="1" thickBot="1">
      <c r="A22" s="1591"/>
      <c r="B22" s="1594"/>
      <c r="C22" s="1595"/>
      <c r="D22" s="1595"/>
      <c r="E22" s="1595"/>
      <c r="F22" s="1595"/>
      <c r="G22" s="1595"/>
      <c r="H22" s="1595"/>
      <c r="I22" s="1595"/>
      <c r="J22" s="1595"/>
      <c r="K22" s="1595"/>
      <c r="L22" s="1595"/>
      <c r="M22" s="1595"/>
      <c r="N22" s="1595"/>
      <c r="O22" s="1595"/>
      <c r="P22" s="1595"/>
      <c r="Q22" s="1595"/>
      <c r="R22" s="1595"/>
      <c r="S22" s="1595"/>
      <c r="T22" s="1595"/>
      <c r="U22" s="1595"/>
      <c r="V22" s="1595"/>
      <c r="W22" s="1595"/>
      <c r="X22" s="1595"/>
      <c r="Y22" s="1596"/>
      <c r="Z22" s="445"/>
      <c r="AC22" s="74"/>
    </row>
    <row r="23" spans="1:29" ht="18" customHeight="1" thickBot="1">
      <c r="A23" s="1590">
        <v>6</v>
      </c>
      <c r="B23" s="616" t="s">
        <v>953</v>
      </c>
      <c r="C23" s="617"/>
      <c r="D23" s="617"/>
      <c r="E23" s="617"/>
      <c r="F23" s="643"/>
      <c r="G23" s="643"/>
      <c r="H23" s="643"/>
      <c r="I23" s="643"/>
      <c r="J23" s="643"/>
      <c r="K23" s="643"/>
      <c r="L23" s="643"/>
      <c r="M23" s="643"/>
      <c r="N23" s="643"/>
      <c r="O23" s="643"/>
      <c r="P23" s="643"/>
      <c r="Q23" s="644"/>
      <c r="R23" s="644"/>
      <c r="S23" s="644"/>
      <c r="T23" s="644"/>
      <c r="U23" s="644"/>
      <c r="V23" s="643"/>
      <c r="W23" s="643"/>
      <c r="X23" s="643"/>
      <c r="Y23" s="645"/>
      <c r="AC23" s="74"/>
    </row>
    <row r="24" spans="1:29" ht="53.25" customHeight="1" thickBot="1">
      <c r="A24" s="1591"/>
      <c r="B24" s="1594" t="s">
        <v>1900</v>
      </c>
      <c r="C24" s="1595"/>
      <c r="D24" s="1595"/>
      <c r="E24" s="1595"/>
      <c r="F24" s="1595"/>
      <c r="G24" s="1595"/>
      <c r="H24" s="1595"/>
      <c r="I24" s="1595"/>
      <c r="J24" s="1595"/>
      <c r="K24" s="1595"/>
      <c r="L24" s="1595"/>
      <c r="M24" s="1595"/>
      <c r="N24" s="1595"/>
      <c r="O24" s="1595"/>
      <c r="P24" s="1595"/>
      <c r="Q24" s="1595"/>
      <c r="R24" s="1595"/>
      <c r="S24" s="1595"/>
      <c r="T24" s="1595"/>
      <c r="U24" s="1595"/>
      <c r="V24" s="1595"/>
      <c r="W24" s="1595"/>
      <c r="X24" s="1595"/>
      <c r="Y24" s="1596"/>
      <c r="Z24" s="445"/>
      <c r="AC24" s="74"/>
    </row>
    <row r="25" spans="1:29" ht="18" customHeight="1" thickBot="1">
      <c r="A25" s="1590">
        <v>7</v>
      </c>
      <c r="B25" s="616" t="s">
        <v>954</v>
      </c>
      <c r="C25" s="617"/>
      <c r="D25" s="617"/>
      <c r="E25" s="617"/>
      <c r="F25" s="643"/>
      <c r="G25" s="643"/>
      <c r="H25" s="643"/>
      <c r="I25" s="643"/>
      <c r="J25" s="643"/>
      <c r="K25" s="643"/>
      <c r="L25" s="643"/>
      <c r="M25" s="643"/>
      <c r="N25" s="643"/>
      <c r="O25" s="643"/>
      <c r="P25" s="643"/>
      <c r="Q25" s="644"/>
      <c r="R25" s="644"/>
      <c r="S25" s="644"/>
      <c r="T25" s="644"/>
      <c r="U25" s="644"/>
      <c r="V25" s="643"/>
      <c r="W25" s="643"/>
      <c r="X25" s="643"/>
      <c r="Y25" s="645"/>
      <c r="AC25" s="74"/>
    </row>
    <row r="26" spans="1:29" ht="53.25" customHeight="1" thickBot="1">
      <c r="A26" s="1591"/>
      <c r="B26" s="1597" t="s">
        <v>1901</v>
      </c>
      <c r="C26" s="1598"/>
      <c r="D26" s="1598"/>
      <c r="E26" s="1598"/>
      <c r="F26" s="1598"/>
      <c r="G26" s="1598"/>
      <c r="H26" s="1598"/>
      <c r="I26" s="1598"/>
      <c r="J26" s="1598"/>
      <c r="K26" s="1598"/>
      <c r="L26" s="1598"/>
      <c r="M26" s="1598"/>
      <c r="N26" s="1598"/>
      <c r="O26" s="1598"/>
      <c r="P26" s="1598"/>
      <c r="Q26" s="1598"/>
      <c r="R26" s="1598"/>
      <c r="S26" s="1598"/>
      <c r="T26" s="1598"/>
      <c r="U26" s="1598"/>
      <c r="V26" s="1598"/>
      <c r="W26" s="1598"/>
      <c r="X26" s="1598"/>
      <c r="Y26" s="1599"/>
      <c r="Z26" s="445"/>
      <c r="AC26" s="74"/>
    </row>
    <row r="27" spans="1:29" ht="18" customHeight="1" thickBot="1">
      <c r="A27" s="1592">
        <v>8</v>
      </c>
      <c r="B27" s="646" t="s">
        <v>955</v>
      </c>
      <c r="C27" s="647"/>
      <c r="D27" s="647"/>
      <c r="E27" s="647"/>
      <c r="F27" s="648"/>
      <c r="G27" s="648"/>
      <c r="H27" s="648"/>
      <c r="I27" s="649"/>
      <c r="J27" s="649"/>
      <c r="K27" s="649"/>
      <c r="L27" s="649"/>
      <c r="M27" s="649"/>
      <c r="N27" s="649"/>
      <c r="O27" s="647"/>
      <c r="P27" s="648"/>
      <c r="Q27" s="648"/>
      <c r="R27" s="648"/>
      <c r="S27" s="648"/>
      <c r="T27" s="649"/>
      <c r="U27" s="647"/>
      <c r="V27" s="527"/>
      <c r="W27" s="527"/>
      <c r="X27" s="527"/>
      <c r="Y27" s="642"/>
      <c r="Z27" s="633"/>
      <c r="AA27" s="445"/>
      <c r="AC27" s="74"/>
    </row>
    <row r="28" spans="1:29" ht="53.25" customHeight="1" thickBot="1">
      <c r="A28" s="1593"/>
      <c r="B28" s="1597" t="s">
        <v>1902</v>
      </c>
      <c r="C28" s="1598"/>
      <c r="D28" s="1598"/>
      <c r="E28" s="1598"/>
      <c r="F28" s="1598"/>
      <c r="G28" s="1598"/>
      <c r="H28" s="1598"/>
      <c r="I28" s="1598"/>
      <c r="J28" s="1598"/>
      <c r="K28" s="1598"/>
      <c r="L28" s="1598"/>
      <c r="M28" s="1598"/>
      <c r="N28" s="1598"/>
      <c r="O28" s="1598"/>
      <c r="P28" s="1598"/>
      <c r="Q28" s="1598"/>
      <c r="R28" s="1598"/>
      <c r="S28" s="1598"/>
      <c r="T28" s="1598"/>
      <c r="U28" s="1598"/>
      <c r="V28" s="1598"/>
      <c r="W28" s="1598"/>
      <c r="X28" s="1598"/>
      <c r="Y28" s="1599"/>
      <c r="Z28" s="445"/>
      <c r="AA28" s="8" t="str">
        <f>IF(B28="","×","○")</f>
        <v>○</v>
      </c>
      <c r="AC28" s="74"/>
    </row>
  </sheetData>
  <sheetProtection selectLockedCells="1"/>
  <mergeCells count="25">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A1:Y1"/>
    <mergeCell ref="A2:X2"/>
    <mergeCell ref="A21:A22"/>
    <mergeCell ref="A23:A24"/>
    <mergeCell ref="A19:A20"/>
  </mergeCells>
  <phoneticPr fontId="9"/>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topLeftCell="A22" zoomScaleNormal="100" zoomScaleSheetLayoutView="100" workbookViewId="0">
      <selection activeCell="D34" sqref="D34:E36"/>
    </sheetView>
  </sheetViews>
  <sheetFormatPr defaultColWidth="9" defaultRowHeight="13.5"/>
  <cols>
    <col min="1" max="1" width="5.625" style="548" customWidth="1"/>
    <col min="2" max="2" width="34.25" style="548" customWidth="1"/>
    <col min="3" max="6" width="20.625" style="548" customWidth="1"/>
    <col min="7" max="7" width="11.375" style="548" customWidth="1"/>
    <col min="8" max="8" width="2.625" style="548" customWidth="1"/>
    <col min="9" max="10" width="6" style="548" hidden="1" customWidth="1"/>
    <col min="11" max="11" width="2.25" style="615" customWidth="1"/>
    <col min="12" max="12" width="82.75" style="692" bestFit="1" customWidth="1"/>
    <col min="13" max="14" width="0" style="548" hidden="1" customWidth="1"/>
    <col min="15" max="16384" width="9" style="548"/>
  </cols>
  <sheetData>
    <row r="1" spans="1:14" s="651" customFormat="1" ht="20.25" customHeight="1" thickBot="1">
      <c r="A1" s="1609" t="s">
        <v>956</v>
      </c>
      <c r="B1" s="1609"/>
      <c r="C1" s="1609"/>
      <c r="D1" s="1609"/>
      <c r="E1" s="1609"/>
      <c r="F1" s="1609"/>
      <c r="G1" s="1609"/>
      <c r="H1" s="650"/>
      <c r="I1" s="650"/>
      <c r="K1" s="83"/>
      <c r="L1" s="652"/>
    </row>
    <row r="2" spans="1:14" s="651" customFormat="1" ht="24.95" customHeight="1" thickTop="1" thickBot="1">
      <c r="A2" s="1324" t="s">
        <v>910</v>
      </c>
      <c r="B2" s="1324"/>
      <c r="C2" s="1324"/>
      <c r="D2" s="1324"/>
      <c r="E2" s="1324"/>
      <c r="F2" s="1343"/>
      <c r="G2" s="427" t="str">
        <f>IF(COUNTIF(I8:J36,"×")&gt;=1,"未入力あり","入力済")</f>
        <v>入力済</v>
      </c>
      <c r="H2" s="653"/>
      <c r="I2" s="654"/>
      <c r="J2" s="1608"/>
      <c r="K2" s="83"/>
      <c r="L2" s="652"/>
    </row>
    <row r="3" spans="1:14" s="651" customFormat="1" ht="5.0999999999999996" customHeight="1" thickTop="1">
      <c r="A3" s="655"/>
      <c r="B3" s="655"/>
      <c r="C3" s="655"/>
      <c r="D3" s="655"/>
      <c r="E3" s="655"/>
      <c r="F3" s="655"/>
      <c r="G3" s="656"/>
      <c r="H3" s="656"/>
      <c r="I3" s="656"/>
      <c r="J3" s="1608"/>
      <c r="K3" s="51"/>
      <c r="L3" s="652"/>
    </row>
    <row r="4" spans="1:14" s="651" customFormat="1" ht="20.25" customHeight="1">
      <c r="A4" s="655"/>
      <c r="B4" s="655"/>
      <c r="C4" s="655"/>
      <c r="D4" s="657" t="s">
        <v>957</v>
      </c>
      <c r="E4" s="1612" t="str">
        <f>表紙!E2</f>
        <v>パナソニック健康保険組合　松下記念病院</v>
      </c>
      <c r="F4" s="1613"/>
      <c r="G4" s="1614"/>
      <c r="H4" s="658"/>
      <c r="I4" s="658"/>
      <c r="J4" s="1608"/>
      <c r="K4" s="83"/>
      <c r="L4" s="652"/>
    </row>
    <row r="5" spans="1:14" s="651" customFormat="1" ht="20.25" customHeight="1">
      <c r="A5" s="655"/>
      <c r="B5" s="655"/>
      <c r="C5" s="655"/>
      <c r="D5" s="1616" t="s">
        <v>1723</v>
      </c>
      <c r="E5" s="1616"/>
      <c r="F5" s="1616"/>
      <c r="J5" s="659"/>
      <c r="K5" s="83"/>
      <c r="L5" s="652"/>
    </row>
    <row r="6" spans="1:14" s="651" customFormat="1" ht="22.5" customHeight="1">
      <c r="A6" s="1610"/>
      <c r="B6" s="1610"/>
      <c r="C6" s="1610"/>
      <c r="D6" s="1610"/>
      <c r="E6" s="1610"/>
      <c r="F6" s="1610"/>
      <c r="G6" s="1610"/>
      <c r="H6" s="660"/>
      <c r="I6" s="660"/>
      <c r="J6" s="661"/>
      <c r="K6" s="662"/>
      <c r="L6" s="663" t="s">
        <v>234</v>
      </c>
    </row>
    <row r="7" spans="1:14" s="651" customFormat="1" ht="69.95" customHeight="1" thickBot="1">
      <c r="A7" s="1615" t="s">
        <v>958</v>
      </c>
      <c r="B7" s="1615"/>
      <c r="C7" s="1615"/>
      <c r="D7" s="1615"/>
      <c r="E7" s="1615"/>
      <c r="F7" s="1615"/>
      <c r="G7" s="1615"/>
      <c r="H7" s="660"/>
      <c r="I7" s="660"/>
      <c r="J7" s="661"/>
      <c r="K7" s="662"/>
      <c r="L7" s="169"/>
    </row>
    <row r="8" spans="1:14" s="651" customFormat="1" ht="20.100000000000001" customHeight="1" thickBot="1">
      <c r="A8" s="1" t="s">
        <v>959</v>
      </c>
      <c r="C8" s="327">
        <v>1995</v>
      </c>
      <c r="D8" s="664" t="s">
        <v>449</v>
      </c>
      <c r="I8" s="651" t="str">
        <f>IF(C8="","×","○")</f>
        <v>○</v>
      </c>
      <c r="J8" s="661"/>
      <c r="K8" s="662"/>
      <c r="L8" s="169"/>
      <c r="M8" s="665">
        <v>0</v>
      </c>
      <c r="N8" s="665">
        <v>9400</v>
      </c>
    </row>
    <row r="9" spans="1:14" ht="46.5" customHeight="1">
      <c r="A9" s="666" t="s">
        <v>960</v>
      </c>
      <c r="B9" s="3"/>
      <c r="D9" s="667"/>
      <c r="E9" s="667"/>
      <c r="F9" s="667"/>
      <c r="G9" s="667"/>
      <c r="H9" s="667"/>
      <c r="I9" s="667"/>
      <c r="J9" s="547"/>
      <c r="L9" s="169"/>
    </row>
    <row r="10" spans="1:14" ht="20.25" customHeight="1" thickBot="1">
      <c r="A10" s="668"/>
      <c r="B10" s="669" t="s">
        <v>961</v>
      </c>
      <c r="C10" s="670" t="s">
        <v>962</v>
      </c>
      <c r="D10" s="667"/>
      <c r="E10" s="667"/>
      <c r="F10" s="667"/>
      <c r="L10" s="169"/>
    </row>
    <row r="11" spans="1:14" ht="20.25" customHeight="1" thickBot="1">
      <c r="A11" s="668">
        <v>1</v>
      </c>
      <c r="B11" s="669" t="s">
        <v>963</v>
      </c>
      <c r="C11" s="327">
        <v>506</v>
      </c>
      <c r="D11" s="667"/>
      <c r="E11" s="667"/>
      <c r="F11" s="667"/>
      <c r="I11" s="651" t="str">
        <f>IF(C11="","×","○")</f>
        <v>○</v>
      </c>
      <c r="L11" s="169"/>
      <c r="M11" s="671">
        <v>0</v>
      </c>
      <c r="N11" s="672">
        <v>10000</v>
      </c>
    </row>
    <row r="12" spans="1:14" s="651" customFormat="1" ht="20.25" customHeight="1" thickBot="1">
      <c r="A12" s="668">
        <v>2</v>
      </c>
      <c r="B12" s="669" t="s">
        <v>964</v>
      </c>
      <c r="C12" s="327">
        <v>13</v>
      </c>
      <c r="D12" s="667"/>
      <c r="E12" s="667"/>
      <c r="F12" s="667"/>
      <c r="I12" s="651" t="str">
        <f>IF(C12="","×","○")</f>
        <v>○</v>
      </c>
      <c r="K12" s="673"/>
      <c r="L12" s="169"/>
      <c r="M12" s="665">
        <v>0</v>
      </c>
      <c r="N12" s="674">
        <v>2000</v>
      </c>
    </row>
    <row r="13" spans="1:14" s="651" customFormat="1" ht="20.25" customHeight="1" thickBot="1">
      <c r="A13" s="668">
        <v>3</v>
      </c>
      <c r="B13" s="669" t="s">
        <v>965</v>
      </c>
      <c r="C13" s="327">
        <v>125</v>
      </c>
      <c r="D13" s="667"/>
      <c r="E13" s="667"/>
      <c r="F13" s="667"/>
      <c r="I13" s="651" t="str">
        <f>IF(C13="","×","○")</f>
        <v>○</v>
      </c>
      <c r="J13" s="675"/>
      <c r="K13" s="676"/>
      <c r="L13" s="169"/>
      <c r="M13" s="665">
        <v>0</v>
      </c>
      <c r="N13" s="674">
        <v>1500</v>
      </c>
    </row>
    <row r="14" spans="1:14" s="651" customFormat="1" ht="20.25" customHeight="1">
      <c r="A14" s="677"/>
      <c r="B14" s="678" t="s">
        <v>966</v>
      </c>
      <c r="C14" s="679">
        <f>SUM(C11:C13)</f>
        <v>644</v>
      </c>
      <c r="D14" s="667"/>
      <c r="E14" s="667"/>
      <c r="F14" s="667"/>
      <c r="J14" s="675"/>
      <c r="K14" s="676"/>
      <c r="L14" s="169"/>
    </row>
    <row r="15" spans="1:14" s="651" customFormat="1" ht="20.100000000000001" customHeight="1">
      <c r="A15" s="1141" t="s">
        <v>1639</v>
      </c>
      <c r="B15" s="8"/>
      <c r="C15" s="8"/>
      <c r="D15" s="655"/>
      <c r="E15" s="655"/>
      <c r="F15" s="655"/>
      <c r="G15" s="655"/>
      <c r="H15" s="655"/>
      <c r="I15" s="655"/>
      <c r="J15" s="675"/>
      <c r="K15" s="676"/>
      <c r="L15" s="170"/>
    </row>
    <row r="16" spans="1:14" s="651" customFormat="1" ht="46.5" customHeight="1">
      <c r="A16" s="1611" t="s">
        <v>967</v>
      </c>
      <c r="B16" s="1611"/>
      <c r="C16" s="1611"/>
      <c r="D16" s="1611"/>
      <c r="E16" s="1611"/>
      <c r="F16" s="1611"/>
      <c r="G16" s="1611"/>
      <c r="H16" s="864"/>
      <c r="I16" s="680"/>
      <c r="J16" s="675"/>
      <c r="K16" s="676"/>
      <c r="L16" s="170"/>
    </row>
    <row r="17" spans="1:14">
      <c r="J17" s="675" t="s">
        <v>968</v>
      </c>
      <c r="K17" s="676"/>
      <c r="L17" s="170"/>
    </row>
    <row r="18" spans="1:14" s="651" customFormat="1" ht="20.25" customHeight="1" thickBot="1">
      <c r="A18" s="681"/>
      <c r="B18" s="682" t="s">
        <v>969</v>
      </c>
      <c r="C18" s="683" t="s">
        <v>970</v>
      </c>
      <c r="D18" s="1606" t="s">
        <v>969</v>
      </c>
      <c r="E18" s="1607"/>
      <c r="F18" s="683" t="s">
        <v>970</v>
      </c>
      <c r="J18" s="675"/>
      <c r="K18" s="676"/>
      <c r="L18" s="170"/>
    </row>
    <row r="19" spans="1:14" s="651" customFormat="1" ht="21" customHeight="1" thickBot="1">
      <c r="A19" s="684"/>
      <c r="B19" s="685" t="s">
        <v>971</v>
      </c>
      <c r="C19" s="327">
        <v>216</v>
      </c>
      <c r="D19" s="685" t="s">
        <v>972</v>
      </c>
      <c r="E19" s="685"/>
      <c r="F19" s="327">
        <v>4</v>
      </c>
      <c r="I19" s="651" t="str">
        <f t="shared" ref="I19:I25" si="0">IF(C19="","×","○")</f>
        <v>○</v>
      </c>
      <c r="J19" s="651" t="str">
        <f>IF(F19="","×","○")</f>
        <v>○</v>
      </c>
      <c r="K19" s="676"/>
      <c r="L19" s="170"/>
      <c r="M19" s="665">
        <v>0</v>
      </c>
      <c r="N19" s="674">
        <v>3000</v>
      </c>
    </row>
    <row r="20" spans="1:14" s="651" customFormat="1" ht="20.25" customHeight="1" thickBot="1">
      <c r="A20" s="684"/>
      <c r="B20" s="685" t="s">
        <v>973</v>
      </c>
      <c r="C20" s="327">
        <v>22</v>
      </c>
      <c r="D20" s="685" t="s">
        <v>974</v>
      </c>
      <c r="E20" s="685"/>
      <c r="F20" s="327">
        <v>194</v>
      </c>
      <c r="I20" s="651" t="str">
        <f t="shared" si="0"/>
        <v>○</v>
      </c>
      <c r="J20" s="651" t="str">
        <f t="shared" ref="J20:J33" si="1">IF(F20="","×","○")</f>
        <v>○</v>
      </c>
      <c r="K20" s="676"/>
      <c r="L20" s="170"/>
      <c r="M20" s="665">
        <v>0</v>
      </c>
      <c r="N20" s="674">
        <v>3000</v>
      </c>
    </row>
    <row r="21" spans="1:14" s="651" customFormat="1" ht="20.25" customHeight="1" thickBot="1">
      <c r="A21" s="684"/>
      <c r="B21" s="685" t="s">
        <v>975</v>
      </c>
      <c r="C21" s="327">
        <v>182</v>
      </c>
      <c r="D21" s="1604" t="s">
        <v>976</v>
      </c>
      <c r="E21" s="1605"/>
      <c r="F21" s="327">
        <v>16</v>
      </c>
      <c r="I21" s="651" t="str">
        <f t="shared" si="0"/>
        <v>○</v>
      </c>
      <c r="J21" s="651" t="str">
        <f t="shared" si="1"/>
        <v>○</v>
      </c>
      <c r="K21" s="676"/>
      <c r="L21" s="170"/>
      <c r="M21" s="665">
        <v>0</v>
      </c>
      <c r="N21" s="674">
        <v>3000</v>
      </c>
    </row>
    <row r="22" spans="1:14" s="651" customFormat="1" ht="20.25" customHeight="1" thickBot="1">
      <c r="A22" s="684"/>
      <c r="B22" s="1142" t="s">
        <v>1640</v>
      </c>
      <c r="C22" s="327">
        <v>1</v>
      </c>
      <c r="D22" s="1604" t="s">
        <v>977</v>
      </c>
      <c r="E22" s="1605"/>
      <c r="F22" s="327">
        <v>0</v>
      </c>
      <c r="I22" s="651" t="str">
        <f t="shared" si="0"/>
        <v>○</v>
      </c>
      <c r="J22" s="651" t="str">
        <f t="shared" si="1"/>
        <v>○</v>
      </c>
      <c r="K22" s="676"/>
      <c r="L22" s="170"/>
      <c r="M22" s="665">
        <v>0</v>
      </c>
      <c r="N22" s="674">
        <v>3000</v>
      </c>
    </row>
    <row r="23" spans="1:14" s="651" customFormat="1" ht="20.25" customHeight="1" thickBot="1">
      <c r="A23" s="684"/>
      <c r="B23" s="686" t="s">
        <v>978</v>
      </c>
      <c r="C23" s="327">
        <v>5</v>
      </c>
      <c r="D23" s="687" t="s">
        <v>979</v>
      </c>
      <c r="E23" s="688"/>
      <c r="F23" s="327">
        <v>98</v>
      </c>
      <c r="I23" s="651" t="str">
        <f t="shared" si="0"/>
        <v>○</v>
      </c>
      <c r="J23" s="651" t="str">
        <f t="shared" si="1"/>
        <v>○</v>
      </c>
      <c r="K23" s="676"/>
      <c r="L23" s="171"/>
      <c r="M23" s="665">
        <v>0</v>
      </c>
      <c r="N23" s="674">
        <v>3000</v>
      </c>
    </row>
    <row r="24" spans="1:14" s="651" customFormat="1" ht="20.25" customHeight="1" thickBot="1">
      <c r="A24" s="684"/>
      <c r="B24" s="686" t="s">
        <v>980</v>
      </c>
      <c r="C24" s="327">
        <v>0</v>
      </c>
      <c r="D24" s="687" t="s">
        <v>981</v>
      </c>
      <c r="E24" s="688"/>
      <c r="F24" s="327">
        <v>1</v>
      </c>
      <c r="I24" s="651" t="str">
        <f t="shared" si="0"/>
        <v>○</v>
      </c>
      <c r="J24" s="651" t="str">
        <f t="shared" si="1"/>
        <v>○</v>
      </c>
      <c r="K24" s="676"/>
      <c r="L24" s="170"/>
      <c r="M24" s="665">
        <v>0</v>
      </c>
      <c r="N24" s="674">
        <v>3000</v>
      </c>
    </row>
    <row r="25" spans="1:14" s="651" customFormat="1" ht="24" customHeight="1" thickBot="1">
      <c r="A25" s="684"/>
      <c r="B25" s="686" t="s">
        <v>982</v>
      </c>
      <c r="C25" s="327">
        <v>0</v>
      </c>
      <c r="D25" s="687" t="s">
        <v>983</v>
      </c>
      <c r="E25" s="685"/>
      <c r="F25" s="327">
        <v>0</v>
      </c>
      <c r="I25" s="651" t="str">
        <f t="shared" si="0"/>
        <v>○</v>
      </c>
      <c r="J25" s="651" t="str">
        <f t="shared" si="1"/>
        <v>○</v>
      </c>
      <c r="K25" s="676"/>
      <c r="L25" s="170"/>
      <c r="M25" s="665">
        <v>0</v>
      </c>
      <c r="N25" s="674">
        <v>3000</v>
      </c>
    </row>
    <row r="26" spans="1:14" s="651" customFormat="1" ht="24" customHeight="1" thickBot="1">
      <c r="A26" s="684"/>
      <c r="B26" s="685" t="s">
        <v>984</v>
      </c>
      <c r="C26" s="327">
        <v>9</v>
      </c>
      <c r="D26" s="687" t="s">
        <v>985</v>
      </c>
      <c r="E26" s="685"/>
      <c r="F26" s="327">
        <v>201</v>
      </c>
      <c r="I26" s="651" t="str">
        <f t="shared" ref="I26:I36" si="2">IF(C26="","×","○")</f>
        <v>○</v>
      </c>
      <c r="J26" s="651" t="str">
        <f t="shared" si="1"/>
        <v>○</v>
      </c>
      <c r="K26" s="676"/>
      <c r="L26" s="170"/>
      <c r="M26" s="665">
        <v>0</v>
      </c>
      <c r="N26" s="674">
        <v>3000</v>
      </c>
    </row>
    <row r="27" spans="1:14" s="651" customFormat="1" ht="24" customHeight="1" thickBot="1">
      <c r="A27" s="684"/>
      <c r="B27" s="685" t="s">
        <v>986</v>
      </c>
      <c r="C27" s="327">
        <v>2</v>
      </c>
      <c r="D27" s="687" t="s">
        <v>987</v>
      </c>
      <c r="E27" s="685"/>
      <c r="F27" s="327">
        <v>423</v>
      </c>
      <c r="I27" s="651" t="str">
        <f t="shared" si="2"/>
        <v>○</v>
      </c>
      <c r="J27" s="651" t="str">
        <f t="shared" si="1"/>
        <v>○</v>
      </c>
      <c r="K27" s="676"/>
      <c r="L27" s="170"/>
      <c r="M27" s="665">
        <v>0</v>
      </c>
      <c r="N27" s="674">
        <v>3000</v>
      </c>
    </row>
    <row r="28" spans="1:14" s="651" customFormat="1" ht="24" customHeight="1" thickBot="1">
      <c r="A28" s="684"/>
      <c r="B28" s="685" t="s">
        <v>988</v>
      </c>
      <c r="C28" s="327">
        <v>1</v>
      </c>
      <c r="D28" s="687" t="s">
        <v>989</v>
      </c>
      <c r="E28" s="685"/>
      <c r="F28" s="327">
        <v>3</v>
      </c>
      <c r="I28" s="651" t="str">
        <f t="shared" si="2"/>
        <v>○</v>
      </c>
      <c r="J28" s="651" t="str">
        <f t="shared" si="1"/>
        <v>○</v>
      </c>
      <c r="K28" s="676"/>
      <c r="L28" s="170"/>
      <c r="M28" s="665">
        <v>0</v>
      </c>
      <c r="N28" s="674">
        <v>3000</v>
      </c>
    </row>
    <row r="29" spans="1:14" s="651" customFormat="1" ht="24" customHeight="1" thickBot="1">
      <c r="A29" s="684"/>
      <c r="B29" s="685" t="s">
        <v>990</v>
      </c>
      <c r="C29" s="327">
        <v>0</v>
      </c>
      <c r="D29" s="687" t="s">
        <v>991</v>
      </c>
      <c r="E29" s="685"/>
      <c r="F29" s="327">
        <v>4</v>
      </c>
      <c r="I29" s="651" t="str">
        <f t="shared" si="2"/>
        <v>○</v>
      </c>
      <c r="J29" s="651" t="str">
        <f t="shared" si="1"/>
        <v>○</v>
      </c>
      <c r="K29" s="676"/>
      <c r="L29" s="170"/>
      <c r="M29" s="665">
        <v>0</v>
      </c>
      <c r="N29" s="674">
        <v>3000</v>
      </c>
    </row>
    <row r="30" spans="1:14" s="651" customFormat="1" ht="24" customHeight="1" thickBot="1">
      <c r="A30" s="684"/>
      <c r="B30" s="685" t="s">
        <v>992</v>
      </c>
      <c r="C30" s="327">
        <v>0</v>
      </c>
      <c r="D30" s="687" t="s">
        <v>993</v>
      </c>
      <c r="E30" s="685"/>
      <c r="F30" s="327">
        <v>1</v>
      </c>
      <c r="I30" s="651" t="str">
        <f t="shared" si="2"/>
        <v>○</v>
      </c>
      <c r="J30" s="651" t="str">
        <f t="shared" si="1"/>
        <v>○</v>
      </c>
      <c r="K30" s="676"/>
      <c r="L30" s="170"/>
      <c r="M30" s="665">
        <v>0</v>
      </c>
      <c r="N30" s="674">
        <v>3000</v>
      </c>
    </row>
    <row r="31" spans="1:14" s="651" customFormat="1" ht="24" customHeight="1" thickBot="1">
      <c r="A31" s="684"/>
      <c r="B31" s="685" t="s">
        <v>994</v>
      </c>
      <c r="C31" s="327">
        <v>0</v>
      </c>
      <c r="D31" s="687" t="s">
        <v>995</v>
      </c>
      <c r="E31" s="685"/>
      <c r="F31" s="327">
        <v>0</v>
      </c>
      <c r="I31" s="651" t="str">
        <f t="shared" si="2"/>
        <v>○</v>
      </c>
      <c r="J31" s="651" t="str">
        <f t="shared" si="1"/>
        <v>○</v>
      </c>
      <c r="K31" s="676"/>
      <c r="L31" s="170"/>
      <c r="M31" s="665">
        <v>0</v>
      </c>
      <c r="N31" s="674">
        <v>3000</v>
      </c>
    </row>
    <row r="32" spans="1:14" s="651" customFormat="1" ht="24" customHeight="1" thickBot="1">
      <c r="A32" s="684"/>
      <c r="B32" s="685" t="s">
        <v>996</v>
      </c>
      <c r="C32" s="327">
        <v>17</v>
      </c>
      <c r="D32" s="687" t="s">
        <v>997</v>
      </c>
      <c r="E32" s="685"/>
      <c r="F32" s="327">
        <v>1</v>
      </c>
      <c r="I32" s="651" t="str">
        <f t="shared" si="2"/>
        <v>○</v>
      </c>
      <c r="J32" s="651" t="str">
        <f t="shared" si="1"/>
        <v>○</v>
      </c>
      <c r="K32" s="673"/>
      <c r="L32" s="170"/>
      <c r="M32" s="665">
        <v>0</v>
      </c>
      <c r="N32" s="674">
        <v>3000</v>
      </c>
    </row>
    <row r="33" spans="1:14" s="651" customFormat="1" ht="24" customHeight="1" thickBot="1">
      <c r="A33" s="684"/>
      <c r="B33" s="685" t="s">
        <v>998</v>
      </c>
      <c r="C33" s="327">
        <v>7</v>
      </c>
      <c r="D33" s="687" t="s">
        <v>999</v>
      </c>
      <c r="E33" s="685"/>
      <c r="F33" s="327">
        <v>82</v>
      </c>
      <c r="I33" s="651" t="str">
        <f t="shared" si="2"/>
        <v>○</v>
      </c>
      <c r="J33" s="651" t="str">
        <f t="shared" si="1"/>
        <v>○</v>
      </c>
      <c r="K33" s="673"/>
      <c r="L33" s="170"/>
      <c r="M33" s="665">
        <v>0</v>
      </c>
      <c r="N33" s="674">
        <v>3000</v>
      </c>
    </row>
    <row r="34" spans="1:14" s="651" customFormat="1" ht="24" customHeight="1" thickBot="1">
      <c r="A34" s="684"/>
      <c r="B34" s="685" t="s">
        <v>1000</v>
      </c>
      <c r="C34" s="327">
        <v>0</v>
      </c>
      <c r="D34" s="1602" t="s">
        <v>1903</v>
      </c>
      <c r="E34" s="1603"/>
      <c r="F34" s="327">
        <v>3</v>
      </c>
      <c r="I34" s="651" t="str">
        <f t="shared" si="2"/>
        <v>○</v>
      </c>
      <c r="K34" s="673"/>
      <c r="L34" s="170"/>
      <c r="M34" s="665">
        <v>0</v>
      </c>
      <c r="N34" s="674">
        <v>3000</v>
      </c>
    </row>
    <row r="35" spans="1:14" s="651" customFormat="1" ht="24" customHeight="1" thickBot="1">
      <c r="A35" s="684"/>
      <c r="B35" s="685" t="s">
        <v>1001</v>
      </c>
      <c r="C35" s="327">
        <v>88</v>
      </c>
      <c r="D35" s="1602" t="s">
        <v>1904</v>
      </c>
      <c r="E35" s="1603"/>
      <c r="F35" s="327">
        <v>1</v>
      </c>
      <c r="I35" s="651" t="str">
        <f t="shared" si="2"/>
        <v>○</v>
      </c>
      <c r="K35" s="673"/>
      <c r="L35" s="170"/>
      <c r="M35" s="665">
        <v>0</v>
      </c>
      <c r="N35" s="674">
        <v>3000</v>
      </c>
    </row>
    <row r="36" spans="1:14" s="667" customFormat="1" ht="24" customHeight="1" thickBot="1">
      <c r="A36" s="684"/>
      <c r="B36" s="685" t="s">
        <v>1002</v>
      </c>
      <c r="C36" s="327">
        <v>336</v>
      </c>
      <c r="D36" s="1602" t="s">
        <v>1905</v>
      </c>
      <c r="E36" s="1603"/>
      <c r="F36" s="327">
        <v>8</v>
      </c>
      <c r="I36" s="651" t="str">
        <f t="shared" si="2"/>
        <v>○</v>
      </c>
      <c r="J36" s="651"/>
      <c r="K36" s="689"/>
      <c r="L36" s="170"/>
      <c r="M36" s="665">
        <v>0</v>
      </c>
      <c r="N36" s="674">
        <v>3000</v>
      </c>
    </row>
    <row r="37" spans="1:14" ht="20.25" customHeight="1">
      <c r="A37" s="655"/>
      <c r="B37" s="690"/>
      <c r="C37" s="691"/>
      <c r="D37" s="655"/>
      <c r="E37" s="655"/>
      <c r="F37" s="655"/>
      <c r="G37" s="655"/>
      <c r="H37" s="655"/>
      <c r="I37" s="655"/>
      <c r="L37" s="172"/>
    </row>
    <row r="38" spans="1:14">
      <c r="J38" s="675" t="s">
        <v>1003</v>
      </c>
      <c r="K38" s="676"/>
    </row>
    <row r="39" spans="1:14">
      <c r="J39" s="675" t="s">
        <v>1004</v>
      </c>
      <c r="K39" s="676"/>
    </row>
    <row r="40" spans="1:14">
      <c r="J40" s="675" t="s">
        <v>1005</v>
      </c>
      <c r="K40" s="676"/>
    </row>
    <row r="41" spans="1:14">
      <c r="J41" s="675" t="s">
        <v>1006</v>
      </c>
      <c r="K41" s="676"/>
    </row>
    <row r="42" spans="1:14">
      <c r="J42" s="675" t="s">
        <v>1007</v>
      </c>
      <c r="K42" s="676"/>
    </row>
    <row r="43" spans="1:14">
      <c r="J43" s="675" t="s">
        <v>1008</v>
      </c>
      <c r="K43" s="676"/>
    </row>
    <row r="44" spans="1:14">
      <c r="J44" s="675" t="s">
        <v>968</v>
      </c>
      <c r="K44" s="676"/>
    </row>
    <row r="45" spans="1:14">
      <c r="J45" s="675" t="s">
        <v>1009</v>
      </c>
      <c r="K45" s="676"/>
    </row>
    <row r="46" spans="1:14">
      <c r="J46" s="675" t="s">
        <v>1010</v>
      </c>
      <c r="K46" s="676"/>
    </row>
    <row r="47" spans="1:14">
      <c r="J47" s="675" t="s">
        <v>1011</v>
      </c>
      <c r="K47" s="676"/>
    </row>
    <row r="48" spans="1:14">
      <c r="J48" s="675" t="s">
        <v>1012</v>
      </c>
      <c r="K48" s="676"/>
    </row>
    <row r="49" spans="10:11">
      <c r="J49" s="675" t="s">
        <v>1013</v>
      </c>
      <c r="K49" s="676"/>
    </row>
    <row r="50" spans="10:11">
      <c r="J50" s="675" t="s">
        <v>1014</v>
      </c>
      <c r="K50" s="676"/>
    </row>
    <row r="51" spans="10:11">
      <c r="J51" s="675" t="s">
        <v>1015</v>
      </c>
      <c r="K51" s="676"/>
    </row>
    <row r="52" spans="10:11">
      <c r="J52" s="675" t="s">
        <v>1016</v>
      </c>
      <c r="K52" s="676"/>
    </row>
    <row r="53" spans="10:11">
      <c r="J53" s="675" t="s">
        <v>1017</v>
      </c>
      <c r="K53" s="676"/>
    </row>
    <row r="54" spans="10:11">
      <c r="J54" s="675" t="s">
        <v>1018</v>
      </c>
      <c r="K54" s="676"/>
    </row>
    <row r="55" spans="10:11">
      <c r="J55" s="675" t="s">
        <v>1019</v>
      </c>
      <c r="K55" s="676"/>
    </row>
    <row r="56" spans="10:11">
      <c r="J56" s="675" t="s">
        <v>1020</v>
      </c>
      <c r="K56" s="676"/>
    </row>
    <row r="57" spans="10:11">
      <c r="J57" s="675" t="s">
        <v>1021</v>
      </c>
      <c r="K57" s="676"/>
    </row>
    <row r="58" spans="10:11">
      <c r="J58" s="675" t="s">
        <v>1022</v>
      </c>
      <c r="K58" s="676"/>
    </row>
    <row r="59" spans="10:11">
      <c r="J59" s="675" t="s">
        <v>1023</v>
      </c>
      <c r="K59" s="676"/>
    </row>
    <row r="60" spans="10:11">
      <c r="J60" s="675" t="s">
        <v>1024</v>
      </c>
      <c r="K60" s="676"/>
    </row>
    <row r="61" spans="10:11">
      <c r="J61" s="675" t="s">
        <v>1025</v>
      </c>
      <c r="K61" s="676"/>
    </row>
    <row r="62" spans="10:11">
      <c r="J62" s="675" t="s">
        <v>1026</v>
      </c>
      <c r="K62" s="676"/>
    </row>
    <row r="63" spans="10:11">
      <c r="J63" s="675" t="s">
        <v>1027</v>
      </c>
      <c r="K63" s="676"/>
    </row>
    <row r="64" spans="10:11">
      <c r="J64" s="675" t="s">
        <v>1028</v>
      </c>
      <c r="K64" s="676"/>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A7:G7"/>
    <mergeCell ref="D5:F5"/>
    <mergeCell ref="D35:E35"/>
    <mergeCell ref="D36:E36"/>
    <mergeCell ref="D22:E22"/>
    <mergeCell ref="D21:E21"/>
    <mergeCell ref="D18:E18"/>
    <mergeCell ref="D34:E34"/>
  </mergeCells>
  <phoneticPr fontId="9"/>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Q7" sqref="Q7:W7"/>
    </sheetView>
  </sheetViews>
  <sheetFormatPr defaultColWidth="9" defaultRowHeight="13.5"/>
  <cols>
    <col min="1" max="1" width="3.625" style="477" customWidth="1"/>
    <col min="2" max="2" width="35.625" style="477" customWidth="1"/>
    <col min="3" max="4" width="10.625" style="477" customWidth="1"/>
    <col min="5" max="13" width="2.625" style="477" customWidth="1"/>
    <col min="14" max="14" width="1.625" style="477" customWidth="1"/>
    <col min="15" max="22" width="2.625" style="477" customWidth="1"/>
    <col min="23" max="23" width="10.625" style="477" customWidth="1"/>
    <col min="24" max="24" width="2.625" style="548" customWidth="1"/>
    <col min="25" max="25" width="6" style="548" hidden="1" customWidth="1"/>
    <col min="26" max="26" width="2.25" style="452" customWidth="1"/>
    <col min="27" max="27" width="82.75" style="692" bestFit="1" customWidth="1"/>
    <col min="28" max="28" width="10.875" style="477" customWidth="1"/>
    <col min="29" max="29" width="20.125" style="477" customWidth="1"/>
    <col min="30" max="32" width="9" style="477"/>
    <col min="33" max="33" width="8.875" style="477" customWidth="1"/>
    <col min="34" max="16384" width="9" style="477"/>
  </cols>
  <sheetData>
    <row r="1" spans="1:38" s="693" customFormat="1" ht="22.5" customHeight="1" thickBot="1">
      <c r="A1" s="1617" t="s">
        <v>1029</v>
      </c>
      <c r="B1" s="1617"/>
      <c r="C1" s="1617"/>
      <c r="D1" s="1617"/>
      <c r="E1" s="1617"/>
      <c r="F1" s="1617"/>
      <c r="G1" s="1617"/>
      <c r="H1" s="1617"/>
      <c r="I1" s="1617"/>
      <c r="J1" s="1617"/>
      <c r="K1" s="1617"/>
      <c r="L1" s="1617"/>
      <c r="M1" s="1617"/>
      <c r="N1" s="1617"/>
      <c r="O1" s="1617"/>
      <c r="P1" s="1617"/>
      <c r="Q1" s="1617"/>
      <c r="R1" s="1617"/>
      <c r="S1" s="1617"/>
      <c r="T1" s="1617"/>
      <c r="U1" s="1617"/>
      <c r="V1" s="1617"/>
      <c r="W1" s="1617"/>
      <c r="Z1" s="83"/>
      <c r="AA1" s="652"/>
      <c r="AB1" s="694"/>
      <c r="AC1" s="695"/>
      <c r="AD1" s="696"/>
      <c r="AE1" s="696"/>
      <c r="AF1" s="696"/>
      <c r="AG1" s="696"/>
      <c r="AH1" s="696"/>
      <c r="AI1" s="696"/>
      <c r="AJ1" s="696"/>
      <c r="AK1" s="696"/>
    </row>
    <row r="2" spans="1:38" s="693" customFormat="1" ht="24.95" customHeight="1" thickTop="1" thickBot="1">
      <c r="A2" s="1324" t="s">
        <v>865</v>
      </c>
      <c r="B2" s="1324"/>
      <c r="C2" s="1324"/>
      <c r="D2" s="1324"/>
      <c r="E2" s="1324"/>
      <c r="F2" s="1324"/>
      <c r="G2" s="1324"/>
      <c r="H2" s="1324"/>
      <c r="I2" s="1324"/>
      <c r="J2" s="1324"/>
      <c r="K2" s="1324"/>
      <c r="L2" s="1324"/>
      <c r="M2" s="1324"/>
      <c r="N2" s="1324"/>
      <c r="O2" s="1324"/>
      <c r="P2" s="1324"/>
      <c r="Q2" s="1324"/>
      <c r="R2" s="1324"/>
      <c r="S2" s="1324"/>
      <c r="T2" s="1324"/>
      <c r="U2" s="1324"/>
      <c r="V2" s="1343"/>
      <c r="W2" s="427" t="str">
        <f>IF(COUNTIF(Y6:Y17,"×")&gt;=1,"未入力あり","入力済")</f>
        <v>入力済</v>
      </c>
      <c r="X2" s="697"/>
      <c r="Y2" s="697"/>
      <c r="Z2" s="83"/>
      <c r="AA2" s="698"/>
      <c r="AB2" s="694"/>
      <c r="AC2" s="695"/>
      <c r="AD2" s="696"/>
      <c r="AE2" s="696"/>
      <c r="AF2" s="696"/>
      <c r="AG2" s="696"/>
      <c r="AH2" s="696"/>
      <c r="AI2" s="696"/>
      <c r="AJ2" s="696"/>
      <c r="AK2" s="696"/>
    </row>
    <row r="3" spans="1:38" s="693" customFormat="1" ht="5.0999999999999996" customHeight="1" thickTop="1">
      <c r="B3" s="699" t="s">
        <v>462</v>
      </c>
      <c r="C3" s="699"/>
      <c r="D3" s="699"/>
      <c r="E3" s="699"/>
      <c r="F3" s="699"/>
      <c r="G3" s="699"/>
      <c r="H3" s="699"/>
      <c r="I3" s="699"/>
      <c r="J3" s="699"/>
      <c r="K3" s="699"/>
      <c r="L3" s="699"/>
      <c r="M3" s="699"/>
      <c r="N3" s="699"/>
      <c r="O3" s="699"/>
      <c r="P3" s="699"/>
      <c r="Q3" s="699"/>
      <c r="R3" s="699"/>
      <c r="S3" s="699"/>
      <c r="T3" s="699"/>
      <c r="U3" s="699"/>
      <c r="V3" s="699"/>
      <c r="W3" s="699"/>
      <c r="X3" s="651"/>
      <c r="Y3" s="651"/>
      <c r="Z3" s="51"/>
      <c r="AA3" s="698"/>
      <c r="AB3" s="699"/>
      <c r="AF3" s="1625"/>
      <c r="AG3" s="1625"/>
      <c r="AH3" s="1625"/>
      <c r="AI3" s="1625"/>
      <c r="AJ3" s="1625"/>
      <c r="AK3" s="1625"/>
      <c r="AL3" s="1625"/>
    </row>
    <row r="4" spans="1:38" ht="20.25" customHeight="1">
      <c r="D4" s="494" t="s">
        <v>757</v>
      </c>
      <c r="E4" s="1325" t="str">
        <f>表紙!E2</f>
        <v>パナソニック健康保険組合　松下記念病院</v>
      </c>
      <c r="F4" s="1626"/>
      <c r="G4" s="1626"/>
      <c r="H4" s="1626"/>
      <c r="I4" s="1626"/>
      <c r="J4" s="1626"/>
      <c r="K4" s="1626"/>
      <c r="L4" s="1626"/>
      <c r="M4" s="1626"/>
      <c r="N4" s="1626"/>
      <c r="O4" s="1626"/>
      <c r="P4" s="1626"/>
      <c r="Q4" s="1626"/>
      <c r="R4" s="1626"/>
      <c r="S4" s="1626"/>
      <c r="T4" s="1626"/>
      <c r="U4" s="1626"/>
      <c r="V4" s="1626"/>
      <c r="W4" s="1326"/>
      <c r="X4" s="651"/>
      <c r="Y4" s="651"/>
      <c r="Z4" s="83"/>
    </row>
    <row r="5" spans="1:38" ht="20.25" customHeight="1" thickBot="1">
      <c r="D5" s="1143" t="s">
        <v>911</v>
      </c>
      <c r="E5" s="49" t="str">
        <f>別紙1未充足要件!E5</f>
        <v>令和６年９月１日時点</v>
      </c>
      <c r="F5" s="49"/>
      <c r="G5" s="49"/>
      <c r="H5" s="49"/>
      <c r="I5" s="49"/>
      <c r="J5" s="49"/>
      <c r="K5" s="49"/>
      <c r="L5" s="49"/>
      <c r="M5" s="615"/>
      <c r="N5" s="615"/>
      <c r="O5" s="615"/>
      <c r="P5" s="615"/>
      <c r="Q5" s="615"/>
      <c r="R5" s="615"/>
      <c r="S5" s="615"/>
      <c r="T5" s="615"/>
      <c r="U5" s="615"/>
      <c r="V5" s="615"/>
      <c r="W5" s="615"/>
      <c r="X5" s="661"/>
      <c r="Y5" s="661"/>
      <c r="Z5" s="455"/>
      <c r="AA5" s="177" t="s">
        <v>234</v>
      </c>
      <c r="AB5" s="701"/>
      <c r="AC5" s="701"/>
    </row>
    <row r="6" spans="1:38" ht="30" customHeight="1" thickBot="1">
      <c r="A6" s="550">
        <v>1</v>
      </c>
      <c r="B6" s="702" t="s">
        <v>1030</v>
      </c>
      <c r="C6" s="1502" t="s">
        <v>1906</v>
      </c>
      <c r="D6" s="1503"/>
      <c r="E6" s="1503"/>
      <c r="F6" s="1503"/>
      <c r="G6" s="1503"/>
      <c r="H6" s="1503"/>
      <c r="I6" s="1503"/>
      <c r="J6" s="1503"/>
      <c r="K6" s="1503"/>
      <c r="L6" s="1503"/>
      <c r="M6" s="1503"/>
      <c r="N6" s="1503"/>
      <c r="O6" s="1503"/>
      <c r="P6" s="1503"/>
      <c r="Q6" s="1503"/>
      <c r="R6" s="1503"/>
      <c r="S6" s="1503"/>
      <c r="T6" s="1503"/>
      <c r="U6" s="1503"/>
      <c r="V6" s="1503"/>
      <c r="W6" s="1504"/>
      <c r="X6" s="661"/>
      <c r="Y6" s="661" t="str">
        <f>IF(C6="","×","○")</f>
        <v>○</v>
      </c>
      <c r="Z6" s="703"/>
      <c r="AA6" s="163"/>
      <c r="AB6" s="704"/>
    </row>
    <row r="7" spans="1:38" ht="25.5" customHeight="1" thickBot="1">
      <c r="A7" s="550">
        <v>2</v>
      </c>
      <c r="B7" s="1627" t="s">
        <v>1031</v>
      </c>
      <c r="C7" s="1628"/>
      <c r="D7" s="1618" t="s">
        <v>1794</v>
      </c>
      <c r="E7" s="1619"/>
      <c r="F7" s="1619"/>
      <c r="G7" s="1619"/>
      <c r="H7" s="1619"/>
      <c r="I7" s="1619"/>
      <c r="J7" s="1619"/>
      <c r="K7" s="1619"/>
      <c r="L7" s="1619"/>
      <c r="M7" s="1620"/>
      <c r="N7" s="1427" t="s">
        <v>881</v>
      </c>
      <c r="O7" s="1427"/>
      <c r="P7" s="1427"/>
      <c r="Q7" s="1420"/>
      <c r="R7" s="1421"/>
      <c r="S7" s="1421"/>
      <c r="T7" s="1421"/>
      <c r="U7" s="1421"/>
      <c r="V7" s="1421"/>
      <c r="W7" s="1422"/>
      <c r="X7" s="651"/>
      <c r="Y7" s="661" t="str">
        <f>IF(D7="","×","○")</f>
        <v>○</v>
      </c>
      <c r="AA7" s="163"/>
      <c r="AB7" s="704"/>
    </row>
    <row r="8" spans="1:38" ht="25.5" customHeight="1" thickBot="1">
      <c r="A8" s="1592">
        <v>3</v>
      </c>
      <c r="B8" s="705" t="s">
        <v>1032</v>
      </c>
      <c r="C8" s="36" t="s">
        <v>1907</v>
      </c>
      <c r="D8" s="706"/>
      <c r="E8" s="707"/>
      <c r="F8" s="707"/>
      <c r="G8" s="707"/>
      <c r="H8" s="707"/>
      <c r="I8" s="707"/>
      <c r="J8" s="707"/>
      <c r="K8" s="707"/>
      <c r="L8" s="707"/>
      <c r="M8" s="707"/>
      <c r="N8" s="707"/>
      <c r="O8" s="707"/>
      <c r="P8" s="707"/>
      <c r="Q8" s="707"/>
      <c r="R8" s="707"/>
      <c r="S8" s="707"/>
      <c r="T8" s="707"/>
      <c r="U8" s="707"/>
      <c r="V8" s="707"/>
      <c r="W8" s="708"/>
      <c r="X8" s="651"/>
      <c r="Y8" s="661" t="str">
        <f>IF(C8="","×","○")</f>
        <v>○</v>
      </c>
      <c r="Z8" s="703"/>
      <c r="AA8" s="173"/>
      <c r="AB8" s="503"/>
    </row>
    <row r="9" spans="1:38" ht="25.5" customHeight="1" thickBot="1">
      <c r="A9" s="1592"/>
      <c r="B9" s="709" t="s">
        <v>1033</v>
      </c>
      <c r="C9" s="36" t="s">
        <v>908</v>
      </c>
      <c r="D9" s="710"/>
      <c r="W9" s="561"/>
      <c r="X9" s="651"/>
      <c r="Y9" s="661" t="str">
        <f>IF(AND(C8="実施",C9=""),"×","○")</f>
        <v>○</v>
      </c>
      <c r="AA9" s="173"/>
      <c r="AB9" s="503"/>
    </row>
    <row r="10" spans="1:38" ht="25.5" customHeight="1" thickBot="1">
      <c r="A10" s="1592">
        <v>4</v>
      </c>
      <c r="B10" s="711" t="s">
        <v>1034</v>
      </c>
      <c r="C10" s="36" t="s">
        <v>1907</v>
      </c>
      <c r="D10" s="712"/>
      <c r="E10" s="713"/>
      <c r="F10" s="713"/>
      <c r="G10" s="713"/>
      <c r="H10" s="713"/>
      <c r="I10" s="713"/>
      <c r="J10" s="713"/>
      <c r="K10" s="713"/>
      <c r="L10" s="713"/>
      <c r="M10" s="713"/>
      <c r="N10" s="713"/>
      <c r="O10" s="713"/>
      <c r="P10" s="713"/>
      <c r="Q10" s="713"/>
      <c r="R10" s="713"/>
      <c r="S10" s="713"/>
      <c r="T10" s="713"/>
      <c r="U10" s="713"/>
      <c r="V10" s="713"/>
      <c r="W10" s="714"/>
      <c r="X10" s="651"/>
      <c r="Y10" s="661" t="str">
        <f>IF(C10="","×","○")</f>
        <v>○</v>
      </c>
      <c r="Z10" s="703"/>
      <c r="AA10" s="173"/>
      <c r="AB10" s="503"/>
    </row>
    <row r="11" spans="1:38" ht="25.5" customHeight="1" thickBot="1">
      <c r="A11" s="1592"/>
      <c r="B11" s="1621" t="s">
        <v>1035</v>
      </c>
      <c r="C11" s="1622"/>
      <c r="D11" s="1618" t="s">
        <v>1794</v>
      </c>
      <c r="E11" s="1619"/>
      <c r="F11" s="1619"/>
      <c r="G11" s="1619"/>
      <c r="H11" s="1619"/>
      <c r="I11" s="1619"/>
      <c r="J11" s="1619"/>
      <c r="K11" s="1619"/>
      <c r="L11" s="1619"/>
      <c r="M11" s="1620"/>
      <c r="N11" s="1417" t="s">
        <v>881</v>
      </c>
      <c r="O11" s="1418"/>
      <c r="P11" s="1419"/>
      <c r="Q11" s="1420"/>
      <c r="R11" s="1421"/>
      <c r="S11" s="1421"/>
      <c r="T11" s="1421"/>
      <c r="U11" s="1421"/>
      <c r="V11" s="1421"/>
      <c r="W11" s="1422"/>
      <c r="Y11" s="661" t="str">
        <f>IF(AND(C10="実施",D11=""),"×","○")</f>
        <v>○</v>
      </c>
      <c r="AA11" s="173"/>
      <c r="AB11" s="704"/>
    </row>
    <row r="12" spans="1:38" ht="25.5" customHeight="1" thickBot="1">
      <c r="A12" s="1592"/>
      <c r="B12" s="709" t="s">
        <v>1036</v>
      </c>
      <c r="C12" s="36" t="s">
        <v>908</v>
      </c>
      <c r="F12" s="715"/>
      <c r="H12" s="715"/>
      <c r="I12" s="715"/>
      <c r="K12" s="715"/>
      <c r="M12" s="715"/>
      <c r="N12" s="715"/>
      <c r="P12" s="715"/>
      <c r="R12" s="715"/>
      <c r="S12" s="715"/>
      <c r="U12" s="715"/>
      <c r="W12" s="716"/>
      <c r="X12" s="651"/>
      <c r="Y12" s="661" t="str">
        <f>IF(AND(C10="実施",C12=""),"×","○")</f>
        <v>○</v>
      </c>
      <c r="AA12" s="173"/>
      <c r="AB12" s="704"/>
    </row>
    <row r="13" spans="1:38" ht="25.5" customHeight="1" thickBot="1">
      <c r="A13" s="1592"/>
      <c r="B13" s="717" t="s">
        <v>1037</v>
      </c>
      <c r="C13" s="36" t="s">
        <v>1908</v>
      </c>
      <c r="D13" s="718"/>
      <c r="E13" s="719"/>
      <c r="F13" s="719"/>
      <c r="G13" s="719"/>
      <c r="H13" s="719"/>
      <c r="I13" s="719"/>
      <c r="J13" s="719"/>
      <c r="K13" s="719"/>
      <c r="L13" s="719"/>
      <c r="M13" s="719"/>
      <c r="N13" s="719"/>
      <c r="O13" s="719"/>
      <c r="P13" s="719"/>
      <c r="Q13" s="719"/>
      <c r="R13" s="719"/>
      <c r="S13" s="719"/>
      <c r="T13" s="719"/>
      <c r="U13" s="719"/>
      <c r="V13" s="719"/>
      <c r="W13" s="720"/>
      <c r="Y13" s="661" t="str">
        <f>IF(C13="","×","○")</f>
        <v>○</v>
      </c>
      <c r="AA13" s="173"/>
      <c r="AB13" s="704"/>
    </row>
    <row r="14" spans="1:38" ht="25.5" customHeight="1" thickBot="1">
      <c r="A14" s="1592"/>
      <c r="B14" s="1621" t="s">
        <v>1038</v>
      </c>
      <c r="C14" s="1622"/>
      <c r="D14" s="1618"/>
      <c r="E14" s="1619"/>
      <c r="F14" s="1619"/>
      <c r="G14" s="1619"/>
      <c r="H14" s="1619"/>
      <c r="I14" s="1619"/>
      <c r="J14" s="1619"/>
      <c r="K14" s="1619"/>
      <c r="L14" s="1619"/>
      <c r="M14" s="1619"/>
      <c r="N14" s="1619"/>
      <c r="O14" s="1619"/>
      <c r="P14" s="1619"/>
      <c r="Q14" s="1619"/>
      <c r="R14" s="1619"/>
      <c r="S14" s="1619"/>
      <c r="T14" s="1619"/>
      <c r="U14" s="1619"/>
      <c r="V14" s="1619"/>
      <c r="W14" s="1620"/>
      <c r="Y14" s="661" t="str">
        <f>IF(AND(C13="実施",D14=""),"×","○")</f>
        <v>○</v>
      </c>
      <c r="AA14" s="173"/>
      <c r="AB14" s="503"/>
    </row>
    <row r="15" spans="1:38" ht="25.5" customHeight="1" thickBot="1">
      <c r="A15" s="1592"/>
      <c r="B15" s="721" t="s">
        <v>1039</v>
      </c>
      <c r="C15" s="36" t="s">
        <v>1908</v>
      </c>
      <c r="D15" s="722"/>
      <c r="E15" s="722"/>
      <c r="F15" s="722"/>
      <c r="G15" s="722"/>
      <c r="H15" s="722"/>
      <c r="I15" s="722"/>
      <c r="J15" s="722"/>
      <c r="K15" s="722"/>
      <c r="L15" s="722"/>
      <c r="M15" s="722"/>
      <c r="N15" s="722"/>
      <c r="O15" s="722"/>
      <c r="P15" s="722"/>
      <c r="Q15" s="722"/>
      <c r="R15" s="722"/>
      <c r="S15" s="722"/>
      <c r="T15" s="722"/>
      <c r="U15" s="722"/>
      <c r="V15" s="722"/>
      <c r="W15" s="723"/>
      <c r="Y15" s="661" t="str">
        <f>IF(C15="","×","○")</f>
        <v>○</v>
      </c>
      <c r="Z15" s="703"/>
      <c r="AA15" s="173"/>
      <c r="AB15" s="503"/>
    </row>
    <row r="16" spans="1:38" ht="25.5" customHeight="1" thickBot="1">
      <c r="A16" s="1592"/>
      <c r="B16" s="1623" t="s">
        <v>1040</v>
      </c>
      <c r="C16" s="1624"/>
      <c r="D16" s="1502"/>
      <c r="E16" s="1503"/>
      <c r="F16" s="1503"/>
      <c r="G16" s="1503"/>
      <c r="H16" s="1503"/>
      <c r="I16" s="1503"/>
      <c r="J16" s="1503"/>
      <c r="K16" s="1503"/>
      <c r="L16" s="1503"/>
      <c r="M16" s="1503"/>
      <c r="N16" s="1503"/>
      <c r="O16" s="1503"/>
      <c r="P16" s="1503"/>
      <c r="Q16" s="1503"/>
      <c r="R16" s="1503"/>
      <c r="S16" s="1503"/>
      <c r="T16" s="1503"/>
      <c r="U16" s="1503"/>
      <c r="V16" s="1503"/>
      <c r="W16" s="1504"/>
      <c r="Y16" s="661" t="str">
        <f>IF(AND(C15="実施",D16=""),"×","○")</f>
        <v>○</v>
      </c>
      <c r="AA16" s="173"/>
      <c r="AB16" s="704"/>
    </row>
    <row r="17" spans="1:28" ht="25.5" customHeight="1" thickBot="1">
      <c r="A17" s="1592"/>
      <c r="B17" s="724" t="s">
        <v>1041</v>
      </c>
      <c r="C17" s="36" t="s">
        <v>1908</v>
      </c>
      <c r="D17" s="722"/>
      <c r="E17" s="722"/>
      <c r="F17" s="722"/>
      <c r="G17" s="722"/>
      <c r="H17" s="722"/>
      <c r="I17" s="722"/>
      <c r="J17" s="722"/>
      <c r="K17" s="722"/>
      <c r="L17" s="722"/>
      <c r="M17" s="722"/>
      <c r="N17" s="722"/>
      <c r="O17" s="722"/>
      <c r="P17" s="722"/>
      <c r="Q17" s="722"/>
      <c r="R17" s="722"/>
      <c r="S17" s="722"/>
      <c r="T17" s="722"/>
      <c r="U17" s="722"/>
      <c r="V17" s="722"/>
      <c r="W17" s="722"/>
      <c r="Y17" s="661" t="str">
        <f>IF(C17="","×","○")</f>
        <v>○</v>
      </c>
      <c r="Z17" s="703"/>
      <c r="AA17" s="173"/>
      <c r="AB17" s="503"/>
    </row>
    <row r="18" spans="1:28" ht="25.5" customHeight="1">
      <c r="AA18" s="172"/>
      <c r="AB18" s="704"/>
    </row>
  </sheetData>
  <sheetProtection selectLockedCells="1"/>
  <mergeCells count="19">
    <mergeCell ref="AF3:AL3"/>
    <mergeCell ref="E4:W4"/>
    <mergeCell ref="C6:W6"/>
    <mergeCell ref="N7:P7"/>
    <mergeCell ref="B7:C7"/>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s>
  <phoneticPr fontId="9"/>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topLeftCell="A22" zoomScaleNormal="100" zoomScaleSheetLayoutView="100" workbookViewId="0">
      <selection activeCell="A41" sqref="A41:H44"/>
    </sheetView>
  </sheetViews>
  <sheetFormatPr defaultColWidth="8.875" defaultRowHeight="20.100000000000001" customHeight="1"/>
  <cols>
    <col min="1" max="1" width="3.625" style="426" customWidth="1"/>
    <col min="2" max="2" width="34" style="426" customWidth="1"/>
    <col min="3" max="3" width="15.125" style="426" customWidth="1"/>
    <col min="4" max="4" width="17.625" style="426" customWidth="1"/>
    <col min="5" max="5" width="10.375" style="426" customWidth="1"/>
    <col min="6" max="6" width="5.625" style="426" customWidth="1"/>
    <col min="7" max="7" width="7.875" style="426" customWidth="1"/>
    <col min="8" max="8" width="20.875" style="426" customWidth="1"/>
    <col min="9" max="9" width="10.625" style="426" customWidth="1"/>
    <col min="10" max="10" width="2.625" style="426" customWidth="1"/>
    <col min="11" max="11" width="6" style="426" hidden="1" customWidth="1"/>
    <col min="12" max="12" width="2.5" style="49" customWidth="1"/>
    <col min="13" max="13" width="82.75" style="332" bestFit="1" customWidth="1"/>
    <col min="14" max="14" width="0" style="426" hidden="1" customWidth="1"/>
    <col min="15" max="15" width="9.125" style="426" hidden="1" customWidth="1"/>
    <col min="16" max="17" width="6.25" style="426" customWidth="1"/>
    <col min="18" max="16384" width="8.875" style="426"/>
  </cols>
  <sheetData>
    <row r="1" spans="1:13" s="725" customFormat="1" ht="20.25" customHeight="1" thickBot="1">
      <c r="A1" s="1322" t="s">
        <v>1042</v>
      </c>
      <c r="B1" s="1322"/>
      <c r="C1" s="1322"/>
      <c r="D1" s="1322"/>
      <c r="E1" s="1322"/>
      <c r="F1" s="1322"/>
      <c r="G1" s="1322"/>
      <c r="H1" s="1322"/>
      <c r="I1" s="1322"/>
      <c r="L1" s="83"/>
      <c r="M1" s="186"/>
    </row>
    <row r="2" spans="1:13" s="725" customFormat="1" ht="24.95" customHeight="1" thickTop="1" thickBot="1">
      <c r="A2" s="1381" t="s">
        <v>910</v>
      </c>
      <c r="B2" s="1381"/>
      <c r="C2" s="1381"/>
      <c r="D2" s="1381"/>
      <c r="E2" s="1381"/>
      <c r="F2" s="1381"/>
      <c r="G2" s="1381"/>
      <c r="H2" s="1382"/>
      <c r="I2" s="427" t="str">
        <f>IF(COUNTIF(K:K,"×")&gt;=1,"未入力あり","入力済")</f>
        <v>入力済</v>
      </c>
      <c r="J2" s="1317"/>
      <c r="K2" s="492"/>
      <c r="L2" s="83"/>
      <c r="M2" s="186"/>
    </row>
    <row r="3" spans="1:13" ht="4.7" customHeight="1" thickTop="1">
      <c r="F3" s="726"/>
      <c r="G3" s="726"/>
      <c r="H3" s="726"/>
      <c r="J3" s="1317"/>
      <c r="K3" s="492"/>
      <c r="L3" s="51"/>
    </row>
    <row r="4" spans="1:13" ht="20.100000000000001" customHeight="1">
      <c r="E4" s="494" t="s">
        <v>757</v>
      </c>
      <c r="F4" s="1652" t="str">
        <f>表紙!E2</f>
        <v>パナソニック健康保険組合　松下記念病院</v>
      </c>
      <c r="G4" s="1653"/>
      <c r="H4" s="1653"/>
      <c r="I4" s="1654"/>
      <c r="J4" s="1317"/>
      <c r="K4" s="492"/>
      <c r="L4" s="83"/>
    </row>
    <row r="5" spans="1:13" ht="20.100000000000001" customHeight="1">
      <c r="E5" s="1139" t="s">
        <v>911</v>
      </c>
      <c r="F5" t="str">
        <f>別紙1未充足要件!E5</f>
        <v>令和６年９月１日時点</v>
      </c>
      <c r="G5"/>
      <c r="H5" s="548"/>
      <c r="I5" s="727"/>
      <c r="J5" s="727"/>
      <c r="K5" s="727"/>
      <c r="M5" s="177" t="s">
        <v>234</v>
      </c>
    </row>
    <row r="6" spans="1:13" ht="72" customHeight="1">
      <c r="A6" s="1629" t="s">
        <v>1043</v>
      </c>
      <c r="B6" s="1629"/>
      <c r="C6" s="1629"/>
      <c r="D6" s="1629"/>
      <c r="E6" s="1629"/>
      <c r="F6" s="1629"/>
      <c r="G6" s="1629"/>
      <c r="H6" s="1629"/>
      <c r="I6" s="1629"/>
      <c r="J6" s="728"/>
      <c r="K6" s="728"/>
      <c r="M6" s="74"/>
    </row>
    <row r="7" spans="1:13" ht="72.75" customHeight="1">
      <c r="A7" s="1636" t="s">
        <v>1772</v>
      </c>
      <c r="B7" s="1636"/>
      <c r="C7" s="1636"/>
      <c r="D7" s="1636"/>
      <c r="E7" s="1636"/>
      <c r="F7" s="1636"/>
      <c r="G7" s="1636"/>
      <c r="H7" s="1637"/>
      <c r="I7" s="728"/>
      <c r="J7" s="728"/>
      <c r="M7" s="74"/>
    </row>
    <row r="8" spans="1:13" ht="42.75" customHeight="1">
      <c r="A8" s="729"/>
      <c r="B8" s="1144" t="s">
        <v>1641</v>
      </c>
      <c r="C8" s="1638" t="s">
        <v>1045</v>
      </c>
      <c r="D8" s="1639"/>
      <c r="E8" s="730" t="s">
        <v>1044</v>
      </c>
      <c r="F8" s="1632" t="s">
        <v>1046</v>
      </c>
      <c r="G8" s="1633"/>
      <c r="H8" s="730" t="s">
        <v>1047</v>
      </c>
      <c r="M8" s="166"/>
    </row>
    <row r="9" spans="1:13" s="734" customFormat="1" ht="15" customHeight="1">
      <c r="A9" s="731" t="s">
        <v>1048</v>
      </c>
      <c r="B9" s="732" t="s">
        <v>1049</v>
      </c>
      <c r="C9" s="1630" t="s">
        <v>1050</v>
      </c>
      <c r="D9" s="1631"/>
      <c r="E9" s="733">
        <v>3</v>
      </c>
      <c r="F9" s="1634">
        <v>2</v>
      </c>
      <c r="G9" s="1635"/>
      <c r="H9" s="733">
        <v>3</v>
      </c>
      <c r="K9" s="426"/>
      <c r="L9" s="735"/>
      <c r="M9" s="74"/>
    </row>
    <row r="10" spans="1:13" s="734" customFormat="1" ht="15" customHeight="1" thickBot="1">
      <c r="A10" s="736" t="s">
        <v>1048</v>
      </c>
      <c r="B10" s="737" t="s">
        <v>1051</v>
      </c>
      <c r="C10" s="1630" t="s">
        <v>1052</v>
      </c>
      <c r="D10" s="1631"/>
      <c r="E10" s="733">
        <v>2</v>
      </c>
      <c r="F10" s="1634">
        <v>1</v>
      </c>
      <c r="G10" s="1635"/>
      <c r="H10" s="733">
        <v>2</v>
      </c>
      <c r="K10" s="426"/>
      <c r="L10" s="735"/>
      <c r="M10" s="74"/>
    </row>
    <row r="11" spans="1:13" ht="22.5" customHeight="1" thickBot="1">
      <c r="A11" s="550">
        <v>1</v>
      </c>
      <c r="B11" s="738" t="s">
        <v>1053</v>
      </c>
      <c r="C11" s="1662" t="s">
        <v>1050</v>
      </c>
      <c r="D11" s="1663"/>
      <c r="E11" s="54">
        <v>1</v>
      </c>
      <c r="F11" s="1660">
        <v>1</v>
      </c>
      <c r="G11" s="1661"/>
      <c r="H11" s="54">
        <v>1</v>
      </c>
      <c r="K11" s="426" t="str">
        <f>IF(AND(E11&lt;&gt;"",F11&lt;&gt;"",H11&lt;&gt;""),"○","×")</f>
        <v>○</v>
      </c>
      <c r="M11" s="74"/>
    </row>
    <row r="12" spans="1:13" ht="22.5" customHeight="1" thickBot="1">
      <c r="A12" s="550">
        <v>2</v>
      </c>
      <c r="B12" s="738" t="s">
        <v>1053</v>
      </c>
      <c r="C12" s="1662" t="s">
        <v>1052</v>
      </c>
      <c r="D12" s="1663"/>
      <c r="E12" s="54">
        <v>1</v>
      </c>
      <c r="F12" s="1660">
        <v>1</v>
      </c>
      <c r="G12" s="1661"/>
      <c r="H12" s="54">
        <v>0</v>
      </c>
      <c r="K12" s="426" t="str">
        <f t="shared" ref="K12:K19" si="0">IF(AND(E12&lt;&gt;"",F12&lt;&gt;"",H12&lt;&gt;""),"○","×")</f>
        <v>○</v>
      </c>
      <c r="M12" s="74"/>
    </row>
    <row r="13" spans="1:13" ht="22.5" customHeight="1" thickBot="1">
      <c r="A13" s="550">
        <v>3</v>
      </c>
      <c r="B13" s="738" t="s">
        <v>1053</v>
      </c>
      <c r="C13" s="1662" t="s">
        <v>1054</v>
      </c>
      <c r="D13" s="1663"/>
      <c r="E13" s="54">
        <v>0</v>
      </c>
      <c r="F13" s="1660">
        <v>0</v>
      </c>
      <c r="G13" s="1661"/>
      <c r="H13" s="54">
        <v>0</v>
      </c>
      <c r="K13" s="426" t="str">
        <f t="shared" si="0"/>
        <v>○</v>
      </c>
      <c r="M13" s="74"/>
    </row>
    <row r="14" spans="1:13" ht="22.5" customHeight="1" thickBot="1">
      <c r="A14" s="550">
        <v>4</v>
      </c>
      <c r="B14" s="738" t="s">
        <v>1055</v>
      </c>
      <c r="C14" s="1662" t="s">
        <v>1050</v>
      </c>
      <c r="D14" s="1663"/>
      <c r="E14" s="54">
        <v>0</v>
      </c>
      <c r="F14" s="1660">
        <v>0</v>
      </c>
      <c r="G14" s="1661"/>
      <c r="H14" s="54">
        <v>0</v>
      </c>
      <c r="K14" s="426" t="str">
        <f t="shared" si="0"/>
        <v>○</v>
      </c>
      <c r="M14" s="74"/>
    </row>
    <row r="15" spans="1:13" ht="22.5" customHeight="1" thickBot="1">
      <c r="A15" s="550">
        <v>5</v>
      </c>
      <c r="B15" s="738" t="s">
        <v>1055</v>
      </c>
      <c r="C15" s="1662" t="s">
        <v>1052</v>
      </c>
      <c r="D15" s="1663"/>
      <c r="E15" s="54">
        <v>1</v>
      </c>
      <c r="F15" s="1660">
        <v>1</v>
      </c>
      <c r="G15" s="1661"/>
      <c r="H15" s="54">
        <v>0</v>
      </c>
      <c r="K15" s="426" t="str">
        <f>IF(AND(E15&lt;&gt;"",F15&lt;&gt;"",H15&lt;&gt;""),"○","×")</f>
        <v>○</v>
      </c>
      <c r="M15" s="74"/>
    </row>
    <row r="16" spans="1:13" ht="22.5" customHeight="1" thickBot="1">
      <c r="A16" s="550">
        <v>6</v>
      </c>
      <c r="B16" s="738" t="s">
        <v>1055</v>
      </c>
      <c r="C16" s="1662" t="s">
        <v>1054</v>
      </c>
      <c r="D16" s="1663"/>
      <c r="E16" s="54">
        <v>0</v>
      </c>
      <c r="F16" s="1660">
        <v>0</v>
      </c>
      <c r="G16" s="1661"/>
      <c r="H16" s="54">
        <v>0</v>
      </c>
      <c r="K16" s="426" t="str">
        <f t="shared" si="0"/>
        <v>○</v>
      </c>
      <c r="M16" s="74"/>
    </row>
    <row r="17" spans="1:13" ht="22.5" customHeight="1" thickBot="1">
      <c r="A17" s="550">
        <v>7</v>
      </c>
      <c r="B17" s="738" t="s">
        <v>1056</v>
      </c>
      <c r="C17" s="1662" t="s">
        <v>1050</v>
      </c>
      <c r="D17" s="1663"/>
      <c r="E17" s="54">
        <v>2</v>
      </c>
      <c r="F17" s="1660">
        <v>2</v>
      </c>
      <c r="G17" s="1661"/>
      <c r="H17" s="54">
        <v>0</v>
      </c>
      <c r="K17" s="426" t="str">
        <f t="shared" si="0"/>
        <v>○</v>
      </c>
      <c r="M17" s="74"/>
    </row>
    <row r="18" spans="1:13" ht="22.5" customHeight="1" thickBot="1">
      <c r="A18" s="550">
        <v>8</v>
      </c>
      <c r="B18" s="739" t="s">
        <v>1056</v>
      </c>
      <c r="C18" s="1662" t="s">
        <v>1052</v>
      </c>
      <c r="D18" s="1663"/>
      <c r="E18" s="54">
        <v>0</v>
      </c>
      <c r="F18" s="1660">
        <v>0</v>
      </c>
      <c r="G18" s="1661"/>
      <c r="H18" s="54">
        <v>0</v>
      </c>
      <c r="K18" s="426" t="str">
        <f t="shared" si="0"/>
        <v>○</v>
      </c>
      <c r="M18" s="74"/>
    </row>
    <row r="19" spans="1:13" ht="22.5" customHeight="1" thickBot="1">
      <c r="A19" s="550">
        <v>9</v>
      </c>
      <c r="B19" s="739" t="s">
        <v>1056</v>
      </c>
      <c r="C19" s="1658" t="s">
        <v>1054</v>
      </c>
      <c r="D19" s="1659"/>
      <c r="E19" s="54">
        <v>5</v>
      </c>
      <c r="F19" s="1660">
        <v>5</v>
      </c>
      <c r="G19" s="1661"/>
      <c r="H19" s="54">
        <v>0</v>
      </c>
      <c r="K19" s="426" t="str">
        <f t="shared" si="0"/>
        <v>○</v>
      </c>
      <c r="M19" s="74"/>
    </row>
    <row r="20" spans="1:13" ht="22.5" customHeight="1" thickBot="1">
      <c r="A20" s="550">
        <v>10</v>
      </c>
      <c r="B20" s="102"/>
      <c r="C20" s="1656"/>
      <c r="D20" s="1657"/>
      <c r="E20" s="54"/>
      <c r="F20" s="1660"/>
      <c r="G20" s="1661"/>
      <c r="H20" s="54"/>
      <c r="M20" s="74"/>
    </row>
    <row r="21" spans="1:13" ht="22.5" customHeight="1" thickBot="1">
      <c r="A21" s="550">
        <v>11</v>
      </c>
      <c r="B21" s="102"/>
      <c r="C21" s="1656"/>
      <c r="D21" s="1657"/>
      <c r="E21" s="54"/>
      <c r="F21" s="1660"/>
      <c r="G21" s="1661"/>
      <c r="H21" s="54"/>
      <c r="M21" s="74"/>
    </row>
    <row r="22" spans="1:13" ht="22.5" customHeight="1" thickBot="1">
      <c r="A22" s="550">
        <v>12</v>
      </c>
      <c r="B22" s="102"/>
      <c r="C22" s="1656"/>
      <c r="D22" s="1657"/>
      <c r="E22" s="54"/>
      <c r="F22" s="1660"/>
      <c r="G22" s="1661"/>
      <c r="H22" s="54"/>
      <c r="M22" s="74"/>
    </row>
    <row r="23" spans="1:13" ht="22.5" customHeight="1" thickBot="1">
      <c r="A23" s="550">
        <v>13</v>
      </c>
      <c r="B23" s="102"/>
      <c r="C23" s="1656"/>
      <c r="D23" s="1657"/>
      <c r="E23" s="54"/>
      <c r="F23" s="1660"/>
      <c r="G23" s="1661"/>
      <c r="H23" s="54"/>
      <c r="M23" s="74"/>
    </row>
    <row r="24" spans="1:13" ht="22.5" customHeight="1" thickBot="1">
      <c r="A24" s="550">
        <v>14</v>
      </c>
      <c r="B24" s="102"/>
      <c r="C24" s="1656"/>
      <c r="D24" s="1657"/>
      <c r="E24" s="54"/>
      <c r="F24" s="1660"/>
      <c r="G24" s="1661"/>
      <c r="H24" s="54"/>
      <c r="M24" s="74"/>
    </row>
    <row r="25" spans="1:13" ht="22.5" customHeight="1" thickBot="1">
      <c r="A25" s="550">
        <v>15</v>
      </c>
      <c r="B25" s="102"/>
      <c r="C25" s="1656"/>
      <c r="D25" s="1657"/>
      <c r="E25" s="54"/>
      <c r="F25" s="1660"/>
      <c r="G25" s="1661"/>
      <c r="H25" s="54"/>
      <c r="M25" s="74"/>
    </row>
    <row r="26" spans="1:13" ht="22.5" customHeight="1" thickBot="1">
      <c r="A26" s="550">
        <v>16</v>
      </c>
      <c r="B26" s="102"/>
      <c r="C26" s="1656"/>
      <c r="D26" s="1657"/>
      <c r="E26" s="54"/>
      <c r="F26" s="1660"/>
      <c r="G26" s="1661"/>
      <c r="H26" s="54"/>
      <c r="M26" s="74"/>
    </row>
    <row r="27" spans="1:13" ht="22.5" customHeight="1" thickBot="1">
      <c r="A27" s="550">
        <v>17</v>
      </c>
      <c r="B27" s="102"/>
      <c r="C27" s="1656"/>
      <c r="D27" s="1657"/>
      <c r="E27" s="54"/>
      <c r="F27" s="1660"/>
      <c r="G27" s="1661"/>
      <c r="H27" s="54"/>
      <c r="M27" s="74"/>
    </row>
    <row r="28" spans="1:13" ht="22.5" customHeight="1" thickBot="1">
      <c r="A28" s="550">
        <v>18</v>
      </c>
      <c r="B28" s="102"/>
      <c r="C28" s="1656"/>
      <c r="D28" s="1657"/>
      <c r="E28" s="54"/>
      <c r="F28" s="1660"/>
      <c r="G28" s="1661"/>
      <c r="H28" s="54"/>
      <c r="M28" s="74"/>
    </row>
    <row r="29" spans="1:13" ht="22.5" customHeight="1" thickBot="1">
      <c r="A29" s="550">
        <v>19</v>
      </c>
      <c r="B29" s="102"/>
      <c r="C29" s="1656"/>
      <c r="D29" s="1657"/>
      <c r="E29" s="54"/>
      <c r="F29" s="1660"/>
      <c r="G29" s="1661"/>
      <c r="H29" s="54"/>
      <c r="M29" s="74"/>
    </row>
    <row r="30" spans="1:13" ht="22.5" customHeight="1" thickBot="1">
      <c r="A30" s="550">
        <v>20</v>
      </c>
      <c r="B30" s="102"/>
      <c r="C30" s="1656"/>
      <c r="D30" s="1657"/>
      <c r="E30" s="54"/>
      <c r="F30" s="1660"/>
      <c r="G30" s="1661"/>
      <c r="H30" s="54"/>
      <c r="M30" s="163"/>
    </row>
    <row r="31" spans="1:13" ht="33" customHeight="1">
      <c r="A31" s="1655" t="s">
        <v>1057</v>
      </c>
      <c r="B31" s="1655"/>
      <c r="C31" s="1655"/>
      <c r="D31" s="1655"/>
      <c r="E31" s="1655"/>
      <c r="F31" s="1655"/>
      <c r="G31" s="1655"/>
      <c r="H31" s="1655"/>
      <c r="I31" s="1655"/>
      <c r="J31" s="740"/>
      <c r="L31" s="446" t="s">
        <v>1058</v>
      </c>
      <c r="M31" s="74"/>
    </row>
    <row r="32" spans="1:13" ht="18" customHeight="1">
      <c r="A32" s="741" t="s">
        <v>1059</v>
      </c>
      <c r="B32" s="742"/>
      <c r="C32" s="742"/>
      <c r="D32" s="742"/>
      <c r="E32" s="742"/>
      <c r="F32" s="742"/>
      <c r="G32" s="742"/>
      <c r="H32" s="742"/>
      <c r="I32" s="742"/>
      <c r="J32" s="740"/>
      <c r="L32" s="446"/>
      <c r="M32" s="74"/>
    </row>
    <row r="33" spans="1:13" ht="18" customHeight="1">
      <c r="A33" s="741" t="s">
        <v>1060</v>
      </c>
      <c r="B33" s="742"/>
      <c r="C33" s="742"/>
      <c r="D33" s="742"/>
      <c r="E33" s="742"/>
      <c r="F33" s="742"/>
      <c r="G33" s="742"/>
      <c r="H33" s="742"/>
      <c r="I33" s="742"/>
      <c r="L33" s="446"/>
      <c r="M33" s="74"/>
    </row>
    <row r="34" spans="1:13" ht="20.100000000000001" customHeight="1" thickBot="1">
      <c r="A34" s="1640" t="s">
        <v>1061</v>
      </c>
      <c r="B34" s="1641"/>
      <c r="C34" s="1641"/>
      <c r="D34" s="1641"/>
      <c r="E34" s="1641"/>
      <c r="F34" s="1641"/>
      <c r="G34" s="1641"/>
      <c r="H34" s="1642"/>
      <c r="M34" s="74"/>
    </row>
    <row r="35" spans="1:13" ht="20.100000000000001" customHeight="1">
      <c r="A35" s="1643" t="s">
        <v>1909</v>
      </c>
      <c r="B35" s="1644"/>
      <c r="C35" s="1644"/>
      <c r="D35" s="1644"/>
      <c r="E35" s="1644"/>
      <c r="F35" s="1644"/>
      <c r="G35" s="1644"/>
      <c r="H35" s="1645"/>
      <c r="K35" s="426" t="str">
        <f>IF(A35="","×","○")</f>
        <v>○</v>
      </c>
      <c r="M35" s="74"/>
    </row>
    <row r="36" spans="1:13" ht="20.100000000000001" customHeight="1">
      <c r="A36" s="1646"/>
      <c r="B36" s="1647"/>
      <c r="C36" s="1647"/>
      <c r="D36" s="1647"/>
      <c r="E36" s="1647"/>
      <c r="F36" s="1647"/>
      <c r="G36" s="1647"/>
      <c r="H36" s="1648"/>
      <c r="M36" s="74"/>
    </row>
    <row r="37" spans="1:13" ht="20.100000000000001" customHeight="1">
      <c r="A37" s="1646"/>
      <c r="B37" s="1647"/>
      <c r="C37" s="1647"/>
      <c r="D37" s="1647"/>
      <c r="E37" s="1647"/>
      <c r="F37" s="1647"/>
      <c r="G37" s="1647"/>
      <c r="H37" s="1648"/>
      <c r="M37" s="74"/>
    </row>
    <row r="38" spans="1:13" ht="20.100000000000001" customHeight="1" thickBot="1">
      <c r="A38" s="1649"/>
      <c r="B38" s="1650"/>
      <c r="C38" s="1650"/>
      <c r="D38" s="1650"/>
      <c r="E38" s="1650"/>
      <c r="F38" s="1650"/>
      <c r="G38" s="1650"/>
      <c r="H38" s="1651"/>
      <c r="M38" s="74"/>
    </row>
    <row r="39" spans="1:13" ht="24" customHeight="1">
      <c r="A39" s="1655" t="s">
        <v>1062</v>
      </c>
      <c r="B39" s="1655"/>
      <c r="C39" s="1655"/>
      <c r="D39" s="1655"/>
      <c r="E39" s="1655"/>
      <c r="F39" s="1655"/>
      <c r="G39" s="1655"/>
      <c r="H39" s="1655"/>
      <c r="I39" s="1655"/>
      <c r="J39" s="740"/>
      <c r="L39" s="446" t="s">
        <v>1058</v>
      </c>
      <c r="M39" s="74"/>
    </row>
    <row r="40" spans="1:13" ht="20.100000000000001" customHeight="1" thickBot="1">
      <c r="A40" s="1640" t="s">
        <v>1063</v>
      </c>
      <c r="B40" s="1641"/>
      <c r="C40" s="1641"/>
      <c r="D40" s="1641"/>
      <c r="E40" s="1641"/>
      <c r="F40" s="1641"/>
      <c r="G40" s="1641"/>
      <c r="H40" s="1642"/>
      <c r="M40" s="74"/>
    </row>
    <row r="41" spans="1:13" ht="20.100000000000001" customHeight="1">
      <c r="A41" s="1643" t="s">
        <v>1810</v>
      </c>
      <c r="B41" s="1644"/>
      <c r="C41" s="1644"/>
      <c r="D41" s="1644"/>
      <c r="E41" s="1644"/>
      <c r="F41" s="1644"/>
      <c r="G41" s="1644"/>
      <c r="H41" s="1645"/>
      <c r="K41" s="426" t="str">
        <f>IF(A41="","×","○")</f>
        <v>○</v>
      </c>
      <c r="M41" s="74"/>
    </row>
    <row r="42" spans="1:13" ht="20.100000000000001" customHeight="1">
      <c r="A42" s="1646"/>
      <c r="B42" s="1647"/>
      <c r="C42" s="1647"/>
      <c r="D42" s="1647"/>
      <c r="E42" s="1647"/>
      <c r="F42" s="1647"/>
      <c r="G42" s="1647"/>
      <c r="H42" s="1648"/>
      <c r="M42" s="74"/>
    </row>
    <row r="43" spans="1:13" ht="20.100000000000001" customHeight="1">
      <c r="A43" s="1646"/>
      <c r="B43" s="1647"/>
      <c r="C43" s="1647"/>
      <c r="D43" s="1647"/>
      <c r="E43" s="1647"/>
      <c r="F43" s="1647"/>
      <c r="G43" s="1647"/>
      <c r="H43" s="1648"/>
      <c r="M43" s="74"/>
    </row>
    <row r="44" spans="1:13" ht="20.100000000000001" customHeight="1" thickBot="1">
      <c r="A44" s="1649"/>
      <c r="B44" s="1650"/>
      <c r="C44" s="1650"/>
      <c r="D44" s="1650"/>
      <c r="E44" s="1650"/>
      <c r="F44" s="1650"/>
      <c r="G44" s="1650"/>
      <c r="H44" s="1651"/>
      <c r="M44" s="151"/>
    </row>
  </sheetData>
  <sheetProtection selectLockedCells="1"/>
  <mergeCells count="58">
    <mergeCell ref="F22:G22"/>
    <mergeCell ref="F23:G23"/>
    <mergeCell ref="F14:G14"/>
    <mergeCell ref="F15:G15"/>
    <mergeCell ref="F16:G16"/>
    <mergeCell ref="F17:G17"/>
    <mergeCell ref="F18:G18"/>
    <mergeCell ref="F19:G19"/>
    <mergeCell ref="F20:G20"/>
    <mergeCell ref="F21:G21"/>
    <mergeCell ref="C21:D21"/>
    <mergeCell ref="C22:D22"/>
    <mergeCell ref="C23:D23"/>
    <mergeCell ref="C14:D14"/>
    <mergeCell ref="C18:D18"/>
    <mergeCell ref="C17:D17"/>
    <mergeCell ref="C16:D16"/>
    <mergeCell ref="C15:D15"/>
    <mergeCell ref="C13:D13"/>
    <mergeCell ref="F11:G11"/>
    <mergeCell ref="F12:G12"/>
    <mergeCell ref="F13:G13"/>
    <mergeCell ref="C20:D20"/>
    <mergeCell ref="C12:D12"/>
    <mergeCell ref="C11:D11"/>
    <mergeCell ref="F26:G26"/>
    <mergeCell ref="F29:G29"/>
    <mergeCell ref="F30:G30"/>
    <mergeCell ref="C28:D28"/>
    <mergeCell ref="F28:G28"/>
    <mergeCell ref="C27:D27"/>
    <mergeCell ref="F27:G27"/>
    <mergeCell ref="C29:D29"/>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A1:I1"/>
    <mergeCell ref="A6:I6"/>
    <mergeCell ref="C10:D10"/>
    <mergeCell ref="F8:G8"/>
    <mergeCell ref="F9:G9"/>
    <mergeCell ref="F10:G10"/>
    <mergeCell ref="A7:H7"/>
    <mergeCell ref="C9:D9"/>
    <mergeCell ref="C8:D8"/>
  </mergeCells>
  <phoneticPr fontId="9"/>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6"/>
  <sheetViews>
    <sheetView view="pageBreakPreview" zoomScaleNormal="100" zoomScaleSheetLayoutView="100" workbookViewId="0">
      <selection activeCell="D7" sqref="D7"/>
    </sheetView>
  </sheetViews>
  <sheetFormatPr defaultColWidth="9" defaultRowHeight="13.5"/>
  <cols>
    <col min="1" max="2" width="3.625" style="111" customWidth="1"/>
    <col min="3" max="3" width="21.125" style="120" customWidth="1"/>
    <col min="4" max="4" width="10.625" style="120" customWidth="1"/>
    <col min="5" max="5" width="21.125" style="120" customWidth="1"/>
    <col min="6" max="6" width="10.625" style="120" customWidth="1"/>
    <col min="7" max="7" width="21.125" style="120" customWidth="1"/>
    <col min="8" max="8" width="6.625" style="111" customWidth="1"/>
    <col min="9" max="16384" width="9" style="111"/>
  </cols>
  <sheetData>
    <row r="1" spans="1:9" ht="50.1" customHeight="1">
      <c r="A1" s="1241" t="s">
        <v>1564</v>
      </c>
      <c r="B1" s="1242"/>
      <c r="C1" s="1242"/>
      <c r="D1" s="1242"/>
      <c r="E1" s="1242"/>
      <c r="F1" s="1242"/>
      <c r="G1" s="1242"/>
      <c r="H1" s="1243"/>
      <c r="I1" s="110"/>
    </row>
    <row r="2" spans="1:9" ht="60" customHeight="1" thickBot="1">
      <c r="A2" s="112"/>
      <c r="B2" s="1244" t="s">
        <v>150</v>
      </c>
      <c r="C2" s="1244"/>
      <c r="D2" s="1244"/>
      <c r="E2" s="1244"/>
      <c r="F2" s="1244"/>
      <c r="G2" s="1244"/>
      <c r="H2" s="113"/>
    </row>
    <row r="3" spans="1:9" ht="24.95" customHeight="1" thickTop="1">
      <c r="A3" s="114" t="s">
        <v>151</v>
      </c>
      <c r="B3" s="115" t="s">
        <v>152</v>
      </c>
      <c r="C3" s="116"/>
      <c r="D3" s="116"/>
      <c r="E3" s="116"/>
      <c r="F3" s="116"/>
      <c r="G3" s="116"/>
      <c r="H3" s="117"/>
    </row>
    <row r="4" spans="1:9" ht="20.100000000000001" customHeight="1">
      <c r="A4" s="118"/>
      <c r="B4" s="119"/>
      <c r="C4" s="111" t="s">
        <v>153</v>
      </c>
      <c r="H4" s="121"/>
    </row>
    <row r="5" spans="1:9" ht="20.100000000000001" customHeight="1">
      <c r="A5" s="118"/>
      <c r="B5" s="119"/>
      <c r="C5" s="111" t="s">
        <v>154</v>
      </c>
      <c r="H5" s="121"/>
    </row>
    <row r="6" spans="1:9" ht="20.100000000000001" customHeight="1">
      <c r="A6" s="118"/>
      <c r="B6" s="119"/>
      <c r="C6" s="111" t="s">
        <v>155</v>
      </c>
      <c r="H6" s="121"/>
    </row>
    <row r="7" spans="1:9" ht="20.100000000000001" customHeight="1">
      <c r="A7" s="118"/>
      <c r="B7" s="119"/>
      <c r="C7" s="122" t="s">
        <v>156</v>
      </c>
      <c r="D7" s="123"/>
      <c r="E7" s="123"/>
      <c r="F7" s="123"/>
      <c r="G7" s="123"/>
      <c r="H7" s="121"/>
    </row>
    <row r="8" spans="1:9" ht="49.5" customHeight="1">
      <c r="A8" s="118"/>
      <c r="B8" s="119"/>
      <c r="C8" s="1245" t="s">
        <v>157</v>
      </c>
      <c r="D8" s="1245"/>
      <c r="E8" s="1245"/>
      <c r="F8" s="1245"/>
      <c r="G8" s="1245"/>
      <c r="H8" s="121"/>
      <c r="I8" s="110"/>
    </row>
    <row r="9" spans="1:9" s="122" customFormat="1" ht="20.100000000000001" customHeight="1" thickBot="1">
      <c r="A9" s="124"/>
      <c r="B9" s="125"/>
      <c r="C9" s="1246" t="s">
        <v>158</v>
      </c>
      <c r="D9" s="1247"/>
      <c r="E9" s="1247"/>
      <c r="F9" s="1247"/>
      <c r="G9" s="1247"/>
      <c r="H9" s="126"/>
      <c r="I9" s="124"/>
    </row>
    <row r="10" spans="1:9" ht="39.950000000000003" customHeight="1" thickBot="1">
      <c r="A10" s="118"/>
      <c r="B10" s="127"/>
      <c r="C10" s="1248" t="s">
        <v>159</v>
      </c>
      <c r="D10" s="1249"/>
      <c r="E10" s="1249"/>
      <c r="F10" s="1249"/>
      <c r="G10" s="1250"/>
      <c r="H10" s="121"/>
      <c r="I10" s="118"/>
    </row>
    <row r="11" spans="1:9" ht="5.0999999999999996" customHeight="1">
      <c r="A11" s="118"/>
      <c r="B11" s="127"/>
      <c r="C11" s="128"/>
      <c r="D11" s="128"/>
      <c r="E11" s="128"/>
      <c r="F11" s="128"/>
      <c r="G11" s="128"/>
      <c r="H11" s="121"/>
    </row>
    <row r="12" spans="1:9" ht="24.95" customHeight="1">
      <c r="A12" s="129" t="s">
        <v>151</v>
      </c>
      <c r="B12" s="130" t="s">
        <v>160</v>
      </c>
      <c r="C12" s="131"/>
      <c r="D12" s="131"/>
      <c r="E12" s="131"/>
      <c r="F12" s="131"/>
      <c r="G12" s="131"/>
      <c r="H12" s="132"/>
    </row>
    <row r="13" spans="1:9" ht="24.95" customHeight="1">
      <c r="A13" s="133"/>
      <c r="B13" s="134" t="s">
        <v>161</v>
      </c>
      <c r="C13" s="134"/>
      <c r="H13" s="121"/>
    </row>
    <row r="14" spans="1:9" ht="20.100000000000001" customHeight="1">
      <c r="A14" s="135"/>
      <c r="B14" s="136" t="s">
        <v>162</v>
      </c>
      <c r="C14" s="137" t="s">
        <v>163</v>
      </c>
      <c r="D14" s="138"/>
      <c r="E14" s="138"/>
      <c r="F14" s="138"/>
      <c r="G14" s="138"/>
      <c r="H14" s="139"/>
    </row>
    <row r="15" spans="1:9" ht="41.25" customHeight="1">
      <c r="A15" s="118"/>
      <c r="B15" s="119"/>
      <c r="C15" s="1251" t="s">
        <v>164</v>
      </c>
      <c r="D15" s="1251"/>
      <c r="E15" s="1251"/>
      <c r="F15" s="1251"/>
      <c r="G15" s="1251"/>
      <c r="H15" s="121"/>
      <c r="I15" s="110"/>
    </row>
    <row r="16" spans="1:9" ht="66.75" customHeight="1">
      <c r="A16" s="118"/>
      <c r="B16" s="119"/>
      <c r="C16" s="1240" t="s">
        <v>165</v>
      </c>
      <c r="D16" s="1240"/>
      <c r="E16" s="1240"/>
      <c r="F16" s="1240"/>
      <c r="G16" s="1240"/>
      <c r="H16" s="121"/>
    </row>
    <row r="17" spans="1:8" ht="20.100000000000001" customHeight="1">
      <c r="A17" s="135"/>
      <c r="B17" s="136" t="s">
        <v>162</v>
      </c>
      <c r="C17" s="140" t="s">
        <v>1259</v>
      </c>
      <c r="D17" s="138"/>
      <c r="E17" s="138"/>
      <c r="F17" s="138"/>
      <c r="G17" s="138"/>
      <c r="H17" s="139"/>
    </row>
    <row r="18" spans="1:8" ht="39.950000000000003" customHeight="1">
      <c r="A18" s="118"/>
      <c r="B18" s="119"/>
      <c r="C18" s="1253" t="s">
        <v>1258</v>
      </c>
      <c r="D18" s="1253"/>
      <c r="E18" s="1253"/>
      <c r="F18" s="1253"/>
      <c r="G18" s="1253"/>
      <c r="H18" s="121"/>
    </row>
    <row r="19" spans="1:8" ht="39.950000000000003" customHeight="1" thickBot="1">
      <c r="A19" s="118"/>
      <c r="B19" s="119"/>
      <c r="C19" s="1240" t="s">
        <v>166</v>
      </c>
      <c r="D19" s="1240"/>
      <c r="E19" s="1240"/>
      <c r="F19" s="1240"/>
      <c r="G19" s="1240"/>
      <c r="H19" s="121"/>
    </row>
    <row r="20" spans="1:8" ht="39.950000000000003" customHeight="1" thickBot="1">
      <c r="A20" s="118"/>
      <c r="B20" s="119"/>
      <c r="C20" s="1254" t="s">
        <v>167</v>
      </c>
      <c r="D20" s="1255"/>
      <c r="E20" s="1255"/>
      <c r="F20" s="1255"/>
      <c r="G20" s="1256"/>
      <c r="H20" s="121"/>
    </row>
    <row r="21" spans="1:8" ht="5.0999999999999996" customHeight="1">
      <c r="A21" s="118"/>
      <c r="B21" s="119"/>
      <c r="C21" s="141"/>
      <c r="D21" s="141"/>
      <c r="E21" s="141"/>
      <c r="F21" s="141"/>
      <c r="G21" s="141"/>
      <c r="H21" s="121"/>
    </row>
    <row r="22" spans="1:8" ht="20.100000000000001" customHeight="1">
      <c r="A22" s="135"/>
      <c r="B22" s="136" t="s">
        <v>162</v>
      </c>
      <c r="C22" s="140" t="s">
        <v>168</v>
      </c>
      <c r="D22" s="138"/>
      <c r="E22" s="138"/>
      <c r="F22" s="138"/>
      <c r="G22" s="138"/>
      <c r="H22" s="139"/>
    </row>
    <row r="23" spans="1:8" ht="39.950000000000003" customHeight="1">
      <c r="A23" s="118"/>
      <c r="B23" s="119"/>
      <c r="C23" s="1240" t="s">
        <v>1260</v>
      </c>
      <c r="D23" s="1240"/>
      <c r="E23" s="1240"/>
      <c r="F23" s="1240"/>
      <c r="G23" s="1240"/>
      <c r="H23" s="121"/>
    </row>
    <row r="24" spans="1:8" ht="39.950000000000003" customHeight="1">
      <c r="A24" s="118"/>
      <c r="B24" s="119"/>
      <c r="C24" s="1253" t="s">
        <v>169</v>
      </c>
      <c r="D24" s="1253"/>
      <c r="E24" s="1253"/>
      <c r="F24" s="1253"/>
      <c r="G24" s="1253"/>
      <c r="H24" s="121"/>
    </row>
    <row r="25" spans="1:8" ht="20.100000000000001" customHeight="1" thickBot="1">
      <c r="A25" s="118"/>
      <c r="B25" s="119"/>
      <c r="C25" s="111" t="s">
        <v>170</v>
      </c>
      <c r="H25" s="121"/>
    </row>
    <row r="26" spans="1:8" ht="20.100000000000001" customHeight="1" thickBot="1">
      <c r="A26" s="118"/>
      <c r="B26" s="119"/>
      <c r="C26" s="142"/>
      <c r="E26" s="143"/>
      <c r="G26" s="144"/>
      <c r="H26" s="121"/>
    </row>
    <row r="27" spans="1:8" ht="20.100000000000001" customHeight="1">
      <c r="A27" s="118"/>
      <c r="B27" s="119"/>
      <c r="C27" s="127" t="s">
        <v>171</v>
      </c>
      <c r="E27" s="127" t="s">
        <v>172</v>
      </c>
      <c r="G27" s="127" t="s">
        <v>173</v>
      </c>
      <c r="H27" s="121"/>
    </row>
    <row r="28" spans="1:8" ht="39.950000000000003" customHeight="1" thickBot="1">
      <c r="A28" s="118"/>
      <c r="B28" s="119"/>
      <c r="C28" s="1240" t="s">
        <v>174</v>
      </c>
      <c r="D28" s="1240"/>
      <c r="E28" s="1240"/>
      <c r="F28" s="1240"/>
      <c r="G28" s="1240"/>
      <c r="H28" s="121"/>
    </row>
    <row r="29" spans="1:8" ht="39.950000000000003" customHeight="1" thickBot="1">
      <c r="A29" s="118"/>
      <c r="B29" s="119"/>
      <c r="C29" s="1254" t="s">
        <v>175</v>
      </c>
      <c r="D29" s="1255"/>
      <c r="E29" s="1255"/>
      <c r="F29" s="1255"/>
      <c r="G29" s="1256"/>
      <c r="H29" s="121"/>
    </row>
    <row r="30" spans="1:8" ht="5.0999999999999996" customHeight="1">
      <c r="A30" s="118"/>
      <c r="B30" s="119"/>
      <c r="C30" s="141"/>
      <c r="D30" s="141"/>
      <c r="E30" s="141"/>
      <c r="F30" s="141"/>
      <c r="G30" s="141"/>
      <c r="H30" s="121"/>
    </row>
    <row r="31" spans="1:8" ht="20.100000000000001" customHeight="1">
      <c r="A31" s="135"/>
      <c r="B31" s="145" t="s">
        <v>162</v>
      </c>
      <c r="C31" s="146" t="s">
        <v>176</v>
      </c>
      <c r="D31" s="147"/>
      <c r="E31" s="147"/>
      <c r="F31" s="147"/>
      <c r="G31" s="147"/>
      <c r="H31" s="139"/>
    </row>
    <row r="32" spans="1:8" ht="20.100000000000001" customHeight="1">
      <c r="A32" s="118"/>
      <c r="B32" s="127"/>
      <c r="C32" s="134" t="s">
        <v>177</v>
      </c>
      <c r="D32" s="148"/>
      <c r="E32" s="148"/>
      <c r="F32" s="148"/>
      <c r="G32" s="148"/>
      <c r="H32" s="121"/>
    </row>
    <row r="33" spans="1:9" ht="39.950000000000003" customHeight="1">
      <c r="A33" s="118"/>
      <c r="B33" s="127"/>
      <c r="C33" s="1252" t="s">
        <v>178</v>
      </c>
      <c r="D33" s="1252"/>
      <c r="E33" s="1252"/>
      <c r="F33" s="1252"/>
      <c r="G33" s="1252"/>
      <c r="H33" s="121"/>
    </row>
    <row r="34" spans="1:9" ht="39.950000000000003" customHeight="1">
      <c r="A34" s="118"/>
      <c r="B34" s="127"/>
      <c r="C34" s="1240" t="s">
        <v>179</v>
      </c>
      <c r="D34" s="1240"/>
      <c r="E34" s="1240"/>
      <c r="F34" s="1240"/>
      <c r="G34" s="1240"/>
      <c r="H34" s="121"/>
    </row>
    <row r="35" spans="1:9" ht="5.0999999999999996" customHeight="1">
      <c r="A35" s="118"/>
      <c r="B35" s="119"/>
      <c r="C35" s="141"/>
      <c r="D35" s="141"/>
      <c r="E35" s="141"/>
      <c r="F35" s="141"/>
      <c r="G35" s="141"/>
      <c r="H35" s="121"/>
    </row>
    <row r="36" spans="1:9">
      <c r="I36" s="149"/>
    </row>
  </sheetData>
  <sheetProtection selectLockedCells="1"/>
  <mergeCells count="16">
    <mergeCell ref="C33:G33"/>
    <mergeCell ref="C34:G34"/>
    <mergeCell ref="C18:G18"/>
    <mergeCell ref="C19:G19"/>
    <mergeCell ref="C20:G20"/>
    <mergeCell ref="C23:G23"/>
    <mergeCell ref="C28:G28"/>
    <mergeCell ref="C29:G29"/>
    <mergeCell ref="C24:G24"/>
    <mergeCell ref="C16:G16"/>
    <mergeCell ref="A1:H1"/>
    <mergeCell ref="B2:G2"/>
    <mergeCell ref="C8:G8"/>
    <mergeCell ref="C9:G9"/>
    <mergeCell ref="C10:G10"/>
    <mergeCell ref="C15:G15"/>
  </mergeCells>
  <phoneticPr fontId="9"/>
  <dataValidations count="2">
    <dataValidation type="list" allowBlank="1" showInputMessage="1" showErrorMessage="1" sqref="G26" xr:uid="{00000000-0002-0000-0100-000000000000}">
      <formula1>"はい,いいえ"</formula1>
    </dataValidation>
    <dataValidation type="decimal" imeMode="disabled" operator="greaterThanOrEqual" allowBlank="1" showInputMessage="1" showErrorMessage="1" error="数値を入力してください" prompt="数値を入力" sqref="E26"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82" orientation="portrait" cellComments="asDisplayed" r:id="rId1"/>
  <headerFooter>
    <oddHeader>&amp;Rver.2.0</oddHeader>
    <oddFooter>&amp;C&amp;P/&amp;N&amp;R&amp;A</oddFooter>
  </headerFooter>
  <rowBreaks count="1" manualBreakCount="1">
    <brk id="1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topLeftCell="A30" zoomScale="90" zoomScaleNormal="85" zoomScaleSheetLayoutView="90" workbookViewId="0">
      <selection activeCell="D50" sqref="D50:G50"/>
    </sheetView>
  </sheetViews>
  <sheetFormatPr defaultColWidth="9" defaultRowHeight="20.100000000000001" customHeight="1"/>
  <cols>
    <col min="1" max="1" width="3.625" style="727" customWidth="1"/>
    <col min="2" max="2" width="22.625" style="727" customWidth="1"/>
    <col min="3" max="3" width="16.875" style="727" customWidth="1"/>
    <col min="4" max="4" width="42.375" style="727" customWidth="1"/>
    <col min="5" max="5" width="3.375" style="727" customWidth="1"/>
    <col min="6" max="6" width="37.875" style="727" customWidth="1"/>
    <col min="7" max="7" width="19.875" style="727" customWidth="1"/>
    <col min="8" max="8" width="12.375" style="727" customWidth="1"/>
    <col min="9" max="9" width="2.625" style="727" customWidth="1"/>
    <col min="10" max="10" width="6" style="727" hidden="1" customWidth="1"/>
    <col min="11" max="11" width="2.25" style="727" customWidth="1"/>
    <col min="12" max="12" width="1.375" style="743" customWidth="1"/>
    <col min="13" max="13" width="82.75" style="744" bestFit="1" customWidth="1"/>
    <col min="14" max="14" width="0" style="727" hidden="1" customWidth="1"/>
    <col min="15" max="15" width="5" style="727" hidden="1" customWidth="1"/>
    <col min="16" max="16384" width="9" style="727"/>
  </cols>
  <sheetData>
    <row r="1" spans="1:15" ht="34.5" customHeight="1" thickBot="1">
      <c r="A1" s="1321" t="s">
        <v>1064</v>
      </c>
      <c r="B1" s="1321"/>
      <c r="C1" s="1321"/>
      <c r="D1" s="1321"/>
      <c r="E1" s="1321"/>
      <c r="F1" s="1321"/>
      <c r="G1" s="1321"/>
      <c r="H1" s="1321"/>
      <c r="K1" s="53"/>
    </row>
    <row r="2" spans="1:15" ht="31.5" customHeight="1" thickTop="1" thickBot="1">
      <c r="A2" s="1324" t="s">
        <v>910</v>
      </c>
      <c r="B2" s="1324"/>
      <c r="C2" s="1324"/>
      <c r="D2" s="1324"/>
      <c r="E2" s="1324"/>
      <c r="F2" s="1324"/>
      <c r="G2" s="1343"/>
      <c r="H2" s="427" t="str">
        <f>IF(COUNTIF(J7:J46,"×")&gt;=1,"未入力あり","入力済")</f>
        <v>入力済</v>
      </c>
      <c r="I2" s="1672"/>
      <c r="J2" s="745"/>
      <c r="K2" s="53"/>
      <c r="M2" s="85"/>
    </row>
    <row r="3" spans="1:15" ht="5.0999999999999996" customHeight="1" thickTop="1">
      <c r="I3" s="1672"/>
      <c r="J3" s="745"/>
      <c r="K3" s="8"/>
    </row>
    <row r="4" spans="1:15" ht="20.100000000000001" customHeight="1">
      <c r="D4" s="494" t="s">
        <v>757</v>
      </c>
      <c r="E4" s="1652" t="str">
        <f>表紙!E2</f>
        <v>パナソニック健康保険組合　松下記念病院</v>
      </c>
      <c r="F4" s="1653"/>
      <c r="G4" s="1653"/>
      <c r="H4" s="1654"/>
      <c r="I4" s="1672"/>
      <c r="J4" s="745"/>
      <c r="K4" s="53"/>
    </row>
    <row r="5" spans="1:15" ht="20.100000000000001" customHeight="1">
      <c r="D5" s="1139" t="s">
        <v>911</v>
      </c>
      <c r="E5" s="1" t="str">
        <f>別紙1未充足要件!E5</f>
        <v>令和６年９月１日時点</v>
      </c>
      <c r="F5" s="430"/>
      <c r="I5" s="1672"/>
      <c r="J5" s="745"/>
      <c r="M5" s="177" t="s">
        <v>234</v>
      </c>
    </row>
    <row r="6" spans="1:15" s="477" customFormat="1" ht="18" customHeight="1" thickBot="1">
      <c r="A6" s="1667" t="s">
        <v>1065</v>
      </c>
      <c r="B6" s="1667"/>
      <c r="C6" s="1667"/>
      <c r="D6" s="1667"/>
      <c r="E6" s="1667"/>
      <c r="F6" s="1667"/>
      <c r="G6" s="1667"/>
      <c r="H6" s="1667"/>
      <c r="I6" s="1672"/>
      <c r="J6" s="745"/>
      <c r="L6" s="51"/>
      <c r="M6" s="74"/>
    </row>
    <row r="7" spans="1:15" s="477" customFormat="1" ht="18" customHeight="1" thickBot="1">
      <c r="A7" s="477" t="s">
        <v>1066</v>
      </c>
      <c r="D7" s="746"/>
      <c r="E7" s="1468">
        <v>0</v>
      </c>
      <c r="F7" s="1469"/>
      <c r="G7" s="1666" t="str">
        <f>G12</f>
        <v>（期間：令和５年１月１日～12月31日）</v>
      </c>
      <c r="H7" s="1667"/>
      <c r="J7" s="477" t="str">
        <f>IF(E7="","×","○")</f>
        <v>○</v>
      </c>
      <c r="L7" s="51"/>
      <c r="M7" s="74"/>
      <c r="N7" s="531">
        <v>0</v>
      </c>
      <c r="O7" s="540">
        <v>100</v>
      </c>
    </row>
    <row r="8" spans="1:15" s="477" customFormat="1" ht="53.25" customHeight="1" thickBot="1">
      <c r="A8" s="479" t="s">
        <v>1067</v>
      </c>
      <c r="B8" s="479"/>
      <c r="C8" s="479"/>
      <c r="D8" s="746"/>
      <c r="E8" s="1668" t="s">
        <v>1810</v>
      </c>
      <c r="F8" s="1669"/>
      <c r="G8" s="746" t="s">
        <v>1068</v>
      </c>
      <c r="H8" s="746"/>
      <c r="J8" s="477" t="str">
        <f>IF(E8="","×","○")</f>
        <v>○</v>
      </c>
      <c r="L8" s="51"/>
      <c r="M8" s="74"/>
    </row>
    <row r="9" spans="1:15" s="477" customFormat="1" ht="18" customHeight="1" thickBot="1">
      <c r="A9" s="479" t="s">
        <v>1069</v>
      </c>
      <c r="B9" s="479"/>
      <c r="C9" s="479"/>
      <c r="D9" s="746"/>
      <c r="E9" s="747"/>
      <c r="F9" s="747"/>
      <c r="G9" s="746"/>
      <c r="H9" s="746"/>
      <c r="L9" s="51"/>
      <c r="M9" s="74"/>
    </row>
    <row r="10" spans="1:15" s="477" customFormat="1" ht="20.25" customHeight="1" thickBot="1">
      <c r="A10" s="1667" t="s">
        <v>1070</v>
      </c>
      <c r="B10" s="1625"/>
      <c r="C10" s="1625"/>
      <c r="D10" s="1670"/>
      <c r="E10" s="1664" t="s">
        <v>1808</v>
      </c>
      <c r="F10" s="1665"/>
      <c r="G10" s="746" t="s">
        <v>1071</v>
      </c>
      <c r="H10" s="746"/>
      <c r="J10" s="477" t="str">
        <f>IF(E10="","×","○")</f>
        <v>○</v>
      </c>
      <c r="L10" s="51"/>
      <c r="M10" s="74"/>
    </row>
    <row r="11" spans="1:15" s="477" customFormat="1" ht="32.25" customHeight="1" thickBot="1">
      <c r="A11" s="479" t="s">
        <v>1072</v>
      </c>
      <c r="B11" s="479"/>
      <c r="C11" s="479"/>
      <c r="D11" s="479"/>
      <c r="E11" s="1668" t="s">
        <v>1910</v>
      </c>
      <c r="F11" s="1669"/>
      <c r="G11" s="746" t="s">
        <v>1073</v>
      </c>
      <c r="H11" s="746"/>
      <c r="J11" s="477" t="str">
        <f>IF(AND(E10="はい",E11=""),"×","○")</f>
        <v>○</v>
      </c>
      <c r="L11" s="51"/>
      <c r="M11" s="74"/>
    </row>
    <row r="12" spans="1:15" s="477" customFormat="1" ht="28.5" customHeight="1" thickBot="1">
      <c r="A12" s="479" t="s">
        <v>1074</v>
      </c>
      <c r="B12" s="479"/>
      <c r="C12" s="479"/>
      <c r="D12" s="479"/>
      <c r="E12" s="1468">
        <v>30</v>
      </c>
      <c r="F12" s="1469"/>
      <c r="G12" s="1666" t="str">
        <f>G18</f>
        <v>（期間：令和５年１月１日～12月31日）</v>
      </c>
      <c r="H12" s="1667"/>
      <c r="J12" s="477" t="str">
        <f>IF(AND(E10="はい",E12=""),"×","○")</f>
        <v>○</v>
      </c>
      <c r="L12" s="51"/>
      <c r="M12" s="166"/>
      <c r="N12" s="531">
        <v>0</v>
      </c>
      <c r="O12" s="540">
        <v>1000</v>
      </c>
    </row>
    <row r="13" spans="1:15" s="477" customFormat="1" ht="18" customHeight="1" thickBot="1">
      <c r="A13" s="1133" t="s">
        <v>1762</v>
      </c>
      <c r="B13" s="1133"/>
      <c r="C13" s="479"/>
      <c r="D13" s="746"/>
      <c r="E13" s="747"/>
      <c r="F13" s="747"/>
      <c r="G13" s="746"/>
      <c r="H13" s="746"/>
      <c r="L13" s="51"/>
      <c r="M13" s="74"/>
    </row>
    <row r="14" spans="1:15" s="477" customFormat="1" ht="18" customHeight="1" thickBot="1">
      <c r="A14" s="1133" t="s">
        <v>1075</v>
      </c>
      <c r="B14" s="1133"/>
      <c r="C14" s="479"/>
      <c r="D14" s="746"/>
      <c r="E14" s="1668" t="s">
        <v>1911</v>
      </c>
      <c r="F14" s="1669"/>
      <c r="G14" s="746" t="s">
        <v>1073</v>
      </c>
      <c r="H14" s="746"/>
      <c r="J14" s="477" t="str">
        <f>IF(E14="","×","○")</f>
        <v>○</v>
      </c>
      <c r="L14" s="51"/>
      <c r="M14" s="163"/>
    </row>
    <row r="15" spans="1:15" s="477" customFormat="1" ht="18" customHeight="1" thickBot="1">
      <c r="A15" s="1133" t="s">
        <v>1076</v>
      </c>
      <c r="B15" s="1133"/>
      <c r="C15" s="479"/>
      <c r="D15" s="746"/>
      <c r="E15" s="1664" t="s">
        <v>1808</v>
      </c>
      <c r="F15" s="1665"/>
      <c r="G15" s="746" t="s">
        <v>1071</v>
      </c>
      <c r="H15" s="746"/>
      <c r="J15" s="477" t="str">
        <f t="shared" ref="J15:J16" si="0">IF(E15="","×","○")</f>
        <v>○</v>
      </c>
      <c r="L15" s="51"/>
      <c r="M15" s="163"/>
    </row>
    <row r="16" spans="1:15" s="477" customFormat="1" ht="18" customHeight="1" thickBot="1">
      <c r="A16" s="1133" t="s">
        <v>1077</v>
      </c>
      <c r="B16" s="1133"/>
      <c r="C16" s="479"/>
      <c r="D16" s="746"/>
      <c r="E16" s="1664" t="s">
        <v>1809</v>
      </c>
      <c r="F16" s="1665"/>
      <c r="G16" s="746" t="s">
        <v>1071</v>
      </c>
      <c r="H16" s="746"/>
      <c r="J16" s="477" t="str">
        <f t="shared" si="0"/>
        <v>○</v>
      </c>
      <c r="L16" s="51"/>
      <c r="M16" s="163"/>
    </row>
    <row r="17" spans="1:15" s="477" customFormat="1" ht="18" customHeight="1" thickBot="1">
      <c r="A17" s="1133" t="s">
        <v>1763</v>
      </c>
      <c r="B17" s="1133"/>
      <c r="C17" s="479"/>
      <c r="D17" s="746"/>
      <c r="E17" s="1671"/>
      <c r="F17" s="1671"/>
      <c r="H17" s="746"/>
      <c r="L17" s="51"/>
      <c r="M17" s="163"/>
    </row>
    <row r="18" spans="1:15" s="477" customFormat="1" ht="18" customHeight="1" thickBot="1">
      <c r="A18" s="1133" t="s">
        <v>1764</v>
      </c>
      <c r="B18" s="1133"/>
      <c r="C18" s="479"/>
      <c r="D18" s="746"/>
      <c r="E18" s="1468">
        <v>0</v>
      </c>
      <c r="F18" s="1469"/>
      <c r="G18" s="477" t="s">
        <v>1766</v>
      </c>
      <c r="H18" s="746"/>
      <c r="J18" s="477" t="str">
        <f>IF(E18="","×","○")</f>
        <v>○</v>
      </c>
      <c r="L18" s="51"/>
      <c r="M18" s="163"/>
      <c r="N18" s="531">
        <v>0</v>
      </c>
      <c r="O18" s="540">
        <v>100</v>
      </c>
    </row>
    <row r="19" spans="1:15" s="477" customFormat="1" ht="18" customHeight="1" thickBot="1">
      <c r="A19" s="1133" t="s">
        <v>1765</v>
      </c>
      <c r="B19" s="1133"/>
      <c r="C19" s="479"/>
      <c r="D19" s="746"/>
      <c r="E19" s="1468">
        <v>1</v>
      </c>
      <c r="F19" s="1469"/>
      <c r="G19" s="477" t="str">
        <f>G18</f>
        <v>（期間：令和５年１月１日～12月31日）</v>
      </c>
      <c r="H19" s="746"/>
      <c r="J19" s="477" t="str">
        <f>IF(E19="","×","○")</f>
        <v>○</v>
      </c>
      <c r="L19" s="51"/>
      <c r="M19" s="163"/>
      <c r="N19" s="531">
        <v>0</v>
      </c>
      <c r="O19" s="540">
        <v>100</v>
      </c>
    </row>
    <row r="20" spans="1:15" s="477" customFormat="1" ht="18" customHeight="1" thickBot="1">
      <c r="A20" s="1133" t="s">
        <v>1078</v>
      </c>
      <c r="B20" s="1133"/>
      <c r="C20" s="479"/>
      <c r="D20" s="746"/>
      <c r="E20" s="1664" t="s">
        <v>1809</v>
      </c>
      <c r="F20" s="1665"/>
      <c r="G20" s="746" t="s">
        <v>1071</v>
      </c>
      <c r="H20" s="746"/>
      <c r="J20" s="477" t="str">
        <f>IF(E20="","×","○")</f>
        <v>○</v>
      </c>
      <c r="L20" s="51"/>
      <c r="M20" s="74"/>
    </row>
    <row r="21" spans="1:15" s="477" customFormat="1" ht="51" customHeight="1" thickBot="1">
      <c r="A21" s="479" t="s">
        <v>1079</v>
      </c>
      <c r="B21" s="479"/>
      <c r="C21" s="479"/>
      <c r="D21" s="746"/>
      <c r="E21" s="1668" t="s">
        <v>1810</v>
      </c>
      <c r="F21" s="1669"/>
      <c r="G21" s="746" t="s">
        <v>1073</v>
      </c>
      <c r="H21" s="746"/>
      <c r="J21" s="477" t="str">
        <f>IF(AND(E20="はい",E21=""),"×","○")</f>
        <v>○</v>
      </c>
      <c r="L21" s="51"/>
      <c r="M21" s="74"/>
    </row>
    <row r="22" spans="1:15" s="477" customFormat="1" ht="18" customHeight="1" thickBot="1">
      <c r="A22" s="479" t="s">
        <v>1080</v>
      </c>
      <c r="B22" s="479"/>
      <c r="C22" s="479"/>
      <c r="D22" s="746"/>
      <c r="E22" s="1664" t="s">
        <v>1809</v>
      </c>
      <c r="F22" s="1665"/>
      <c r="G22" s="746" t="s">
        <v>1071</v>
      </c>
      <c r="H22" s="746"/>
      <c r="J22" s="477" t="str">
        <f>IF(E22="","×","○")</f>
        <v>○</v>
      </c>
      <c r="L22" s="51"/>
      <c r="M22" s="74"/>
    </row>
    <row r="23" spans="1:15" s="477" customFormat="1" ht="55.5" customHeight="1" thickBot="1">
      <c r="A23" s="479" t="s">
        <v>1081</v>
      </c>
      <c r="B23" s="479"/>
      <c r="C23" s="479"/>
      <c r="D23" s="746"/>
      <c r="E23" s="1668" t="s">
        <v>1810</v>
      </c>
      <c r="F23" s="1669"/>
      <c r="G23" s="746" t="s">
        <v>1073</v>
      </c>
      <c r="H23" s="746"/>
      <c r="J23" s="477" t="str">
        <f>IF(AND(E22="はい",E23=""),"×","○")</f>
        <v>○</v>
      </c>
      <c r="L23" s="51"/>
      <c r="M23" s="74"/>
    </row>
    <row r="24" spans="1:15" s="477" customFormat="1" ht="18" customHeight="1" thickBot="1">
      <c r="A24" s="479" t="s">
        <v>1082</v>
      </c>
      <c r="B24" s="479"/>
      <c r="C24" s="479"/>
      <c r="D24" s="746"/>
      <c r="E24" s="1664" t="s">
        <v>1808</v>
      </c>
      <c r="F24" s="1665"/>
      <c r="G24" s="746" t="s">
        <v>1071</v>
      </c>
      <c r="H24" s="746"/>
      <c r="J24" s="477" t="str">
        <f t="shared" ref="J24:J28" si="1">IF(E24="","×","○")</f>
        <v>○</v>
      </c>
      <c r="L24" s="51"/>
      <c r="M24" s="74"/>
    </row>
    <row r="25" spans="1:15" s="477" customFormat="1" ht="18" customHeight="1" thickBot="1">
      <c r="A25" s="479" t="s">
        <v>1083</v>
      </c>
      <c r="B25" s="479"/>
      <c r="C25" s="479"/>
      <c r="D25" s="746"/>
      <c r="E25" s="1664" t="s">
        <v>1808</v>
      </c>
      <c r="F25" s="1665"/>
      <c r="G25" s="746" t="s">
        <v>1071</v>
      </c>
      <c r="H25" s="746"/>
      <c r="J25" s="477" t="str">
        <f t="shared" si="1"/>
        <v>○</v>
      </c>
      <c r="L25" s="51"/>
      <c r="M25" s="74"/>
    </row>
    <row r="26" spans="1:15" s="477" customFormat="1" ht="18" customHeight="1" thickBot="1">
      <c r="A26" s="479" t="s">
        <v>1084</v>
      </c>
      <c r="B26" s="479"/>
      <c r="C26" s="479"/>
      <c r="D26" s="746"/>
      <c r="E26" s="1664" t="s">
        <v>1808</v>
      </c>
      <c r="F26" s="1665"/>
      <c r="G26" s="746" t="s">
        <v>1071</v>
      </c>
      <c r="H26" s="746"/>
      <c r="J26" s="477" t="str">
        <f t="shared" si="1"/>
        <v>○</v>
      </c>
      <c r="L26" s="51"/>
      <c r="M26" s="74"/>
    </row>
    <row r="27" spans="1:15" ht="20.100000000000001" customHeight="1" thickBot="1">
      <c r="A27" s="477" t="s">
        <v>1085</v>
      </c>
      <c r="B27" s="477"/>
      <c r="C27" s="426"/>
      <c r="D27" s="426"/>
      <c r="M27" s="174"/>
    </row>
    <row r="28" spans="1:15" ht="20.100000000000001" customHeight="1" thickBot="1">
      <c r="A28" s="477"/>
      <c r="B28" s="477" t="s">
        <v>1086</v>
      </c>
      <c r="C28" s="426"/>
      <c r="D28" s="426"/>
      <c r="E28" s="1664" t="s">
        <v>1809</v>
      </c>
      <c r="F28" s="1665"/>
      <c r="G28" s="477" t="s">
        <v>1071</v>
      </c>
      <c r="J28" s="477" t="str">
        <f t="shared" si="1"/>
        <v>○</v>
      </c>
      <c r="M28" s="174"/>
    </row>
    <row r="29" spans="1:15" s="477" customFormat="1" ht="18" customHeight="1" thickBot="1">
      <c r="A29" s="479" t="s">
        <v>1087</v>
      </c>
      <c r="B29" s="479"/>
      <c r="C29" s="479"/>
      <c r="D29" s="746"/>
      <c r="E29" s="746"/>
      <c r="F29" s="746"/>
      <c r="G29" s="746"/>
      <c r="H29" s="746"/>
      <c r="L29" s="51"/>
      <c r="M29" s="74"/>
    </row>
    <row r="30" spans="1:15" s="477" customFormat="1" ht="18" customHeight="1" thickBot="1">
      <c r="A30" s="479" t="s">
        <v>1088</v>
      </c>
      <c r="B30" s="479"/>
      <c r="C30" s="479"/>
      <c r="D30" s="746"/>
      <c r="E30" s="1468">
        <v>1</v>
      </c>
      <c r="F30" s="1469"/>
      <c r="G30" s="477" t="str">
        <f>G18</f>
        <v>（期間：令和５年１月１日～12月31日）</v>
      </c>
      <c r="H30" s="746"/>
      <c r="J30" s="477" t="str">
        <f>IF(E30="","×","○")</f>
        <v>○</v>
      </c>
      <c r="L30" s="51"/>
      <c r="M30" s="74"/>
      <c r="N30" s="531">
        <v>0</v>
      </c>
      <c r="O30" s="540">
        <v>100</v>
      </c>
    </row>
    <row r="31" spans="1:15" s="477" customFormat="1" ht="18" customHeight="1" thickBot="1">
      <c r="A31" s="479" t="s">
        <v>1089</v>
      </c>
      <c r="B31" s="479"/>
      <c r="C31" s="479"/>
      <c r="D31" s="746"/>
      <c r="E31" s="1468">
        <v>5</v>
      </c>
      <c r="F31" s="1469"/>
      <c r="G31" s="477" t="str">
        <f>G30</f>
        <v>（期間：令和５年１月１日～12月31日）</v>
      </c>
      <c r="H31" s="746"/>
      <c r="J31" s="477" t="str">
        <f>IF(E31="","×","○")</f>
        <v>○</v>
      </c>
      <c r="L31" s="51"/>
      <c r="M31" s="74"/>
      <c r="N31" s="531">
        <v>0</v>
      </c>
      <c r="O31" s="540">
        <v>100</v>
      </c>
    </row>
    <row r="32" spans="1:15" s="477" customFormat="1" ht="18" customHeight="1" thickBot="1">
      <c r="A32" s="479"/>
      <c r="B32" s="479" t="s">
        <v>1090</v>
      </c>
      <c r="C32" s="479"/>
      <c r="D32" s="746"/>
      <c r="E32" s="1468">
        <v>0</v>
      </c>
      <c r="F32" s="1469"/>
      <c r="G32" s="477" t="str">
        <f>G31</f>
        <v>（期間：令和５年１月１日～12月31日）</v>
      </c>
      <c r="H32" s="746"/>
      <c r="J32" s="477" t="str">
        <f>IF(E32="","×","○")</f>
        <v>○</v>
      </c>
      <c r="L32" s="51"/>
      <c r="M32" s="74"/>
      <c r="N32" s="531">
        <v>0</v>
      </c>
      <c r="O32" s="540">
        <v>100</v>
      </c>
    </row>
    <row r="33" spans="1:15" s="477" customFormat="1" ht="18" customHeight="1" thickBot="1">
      <c r="A33" s="479" t="s">
        <v>1091</v>
      </c>
      <c r="B33" s="479"/>
      <c r="C33" s="479"/>
      <c r="D33" s="746"/>
      <c r="E33" s="1468">
        <v>0</v>
      </c>
      <c r="F33" s="1469"/>
      <c r="G33" s="477" t="str">
        <f>G32</f>
        <v>（期間：令和５年１月１日～12月31日）</v>
      </c>
      <c r="H33" s="746"/>
      <c r="J33" s="477" t="str">
        <f>IF(E33="","×","○")</f>
        <v>○</v>
      </c>
      <c r="L33" s="51"/>
      <c r="M33" s="74"/>
      <c r="N33" s="531">
        <v>0</v>
      </c>
      <c r="O33" s="540">
        <v>100</v>
      </c>
    </row>
    <row r="34" spans="1:15" s="477" customFormat="1" ht="16.5" customHeight="1" thickBot="1">
      <c r="A34" s="1682" t="s">
        <v>1092</v>
      </c>
      <c r="B34" s="1682"/>
      <c r="C34" s="1682"/>
      <c r="D34" s="1682"/>
      <c r="E34" s="1682"/>
      <c r="F34" s="1682"/>
      <c r="G34" s="1682"/>
      <c r="H34" s="1682"/>
      <c r="L34" s="51"/>
      <c r="M34" s="74"/>
    </row>
    <row r="35" spans="1:15" s="477" customFormat="1" ht="18" customHeight="1" thickBot="1">
      <c r="A35" s="479" t="s">
        <v>1093</v>
      </c>
      <c r="B35" s="479"/>
      <c r="C35" s="479"/>
      <c r="D35" s="746"/>
      <c r="E35" s="1468">
        <v>1</v>
      </c>
      <c r="F35" s="1469"/>
      <c r="G35" s="746"/>
      <c r="H35" s="746"/>
      <c r="J35" s="477" t="str">
        <f>IF(E35="","×","○")</f>
        <v>○</v>
      </c>
      <c r="L35" s="51"/>
      <c r="M35" s="74"/>
      <c r="N35" s="531">
        <v>0</v>
      </c>
      <c r="O35" s="540">
        <v>100</v>
      </c>
    </row>
    <row r="36" spans="1:15" s="477" customFormat="1" ht="18" customHeight="1">
      <c r="A36" s="479"/>
      <c r="B36" s="479"/>
      <c r="C36" s="479"/>
      <c r="D36" s="746"/>
      <c r="E36" s="748"/>
      <c r="F36" s="748"/>
      <c r="G36" s="746"/>
      <c r="H36" s="746"/>
      <c r="L36" s="51"/>
      <c r="M36" s="74"/>
    </row>
    <row r="37" spans="1:15" s="477" customFormat="1" ht="13.5" customHeight="1">
      <c r="A37" s="1625" t="s">
        <v>1094</v>
      </c>
      <c r="B37" s="1625"/>
      <c r="C37" s="1625"/>
      <c r="D37" s="1625"/>
      <c r="E37" s="1625"/>
      <c r="F37" s="1625"/>
      <c r="G37" s="1625"/>
      <c r="L37" s="51"/>
      <c r="M37" s="74"/>
    </row>
    <row r="38" spans="1:15" s="477" customFormat="1" ht="13.5" customHeight="1">
      <c r="A38" s="1625" t="s">
        <v>1095</v>
      </c>
      <c r="B38" s="1625"/>
      <c r="C38" s="1625"/>
      <c r="D38" s="1625"/>
      <c r="E38" s="1625"/>
      <c r="F38" s="1625"/>
      <c r="G38" s="1625"/>
      <c r="L38" s="51"/>
      <c r="M38" s="74"/>
    </row>
    <row r="39" spans="1:15" s="477" customFormat="1" ht="13.5" customHeight="1">
      <c r="A39" s="1625" t="s">
        <v>1096</v>
      </c>
      <c r="B39" s="1625"/>
      <c r="C39" s="1625"/>
      <c r="D39" s="1625"/>
      <c r="E39" s="1625"/>
      <c r="F39" s="1625"/>
      <c r="G39" s="1625"/>
      <c r="L39" s="51"/>
      <c r="M39" s="74"/>
    </row>
    <row r="40" spans="1:15" s="477" customFormat="1" ht="13.5" customHeight="1">
      <c r="A40" s="1625" t="s">
        <v>1097</v>
      </c>
      <c r="B40" s="1625"/>
      <c r="C40" s="1625"/>
      <c r="D40" s="1625"/>
      <c r="E40" s="1625"/>
      <c r="F40" s="1625"/>
      <c r="G40" s="1625"/>
      <c r="L40" s="51"/>
      <c r="M40" s="74"/>
    </row>
    <row r="41" spans="1:15" ht="18" customHeight="1">
      <c r="A41" s="1592"/>
      <c r="B41" s="1452" t="s">
        <v>1098</v>
      </c>
      <c r="C41" s="1452"/>
      <c r="D41" s="1590" t="s">
        <v>1099</v>
      </c>
      <c r="E41" s="1365"/>
      <c r="F41" s="1365"/>
      <c r="G41" s="1366"/>
      <c r="H41" s="1675" t="s">
        <v>1100</v>
      </c>
      <c r="M41" s="74"/>
    </row>
    <row r="42" spans="1:15" ht="27.95" customHeight="1">
      <c r="A42" s="1592"/>
      <c r="B42" s="749" t="s">
        <v>1101</v>
      </c>
      <c r="C42" s="750" t="s">
        <v>1102</v>
      </c>
      <c r="D42" s="1591"/>
      <c r="E42" s="1673"/>
      <c r="F42" s="1673"/>
      <c r="G42" s="1674"/>
      <c r="H42" s="1675"/>
      <c r="M42" s="74"/>
    </row>
    <row r="43" spans="1:15" ht="18" customHeight="1">
      <c r="A43" s="751" t="s">
        <v>1048</v>
      </c>
      <c r="B43" s="752" t="s">
        <v>1103</v>
      </c>
      <c r="C43" s="753" t="s">
        <v>1104</v>
      </c>
      <c r="D43" s="1676" t="s">
        <v>1105</v>
      </c>
      <c r="E43" s="1677"/>
      <c r="F43" s="1677"/>
      <c r="G43" s="1678"/>
      <c r="H43" s="751" t="s">
        <v>1106</v>
      </c>
      <c r="M43" s="74"/>
    </row>
    <row r="44" spans="1:15" ht="27.95" customHeight="1">
      <c r="A44" s="751" t="s">
        <v>1048</v>
      </c>
      <c r="B44" s="752" t="s">
        <v>1103</v>
      </c>
      <c r="C44" s="753" t="s">
        <v>504</v>
      </c>
      <c r="D44" s="1676" t="s">
        <v>1107</v>
      </c>
      <c r="E44" s="1677"/>
      <c r="F44" s="1677"/>
      <c r="G44" s="1678"/>
      <c r="H44" s="751" t="s">
        <v>1106</v>
      </c>
      <c r="M44" s="74"/>
    </row>
    <row r="45" spans="1:15" ht="27.95" customHeight="1" thickBot="1">
      <c r="A45" s="751" t="s">
        <v>1048</v>
      </c>
      <c r="B45" s="754" t="s">
        <v>1103</v>
      </c>
      <c r="C45" s="755" t="s">
        <v>1108</v>
      </c>
      <c r="D45" s="1679" t="s">
        <v>1109</v>
      </c>
      <c r="E45" s="1680"/>
      <c r="F45" s="1680"/>
      <c r="G45" s="1681"/>
      <c r="H45" s="756" t="s">
        <v>1110</v>
      </c>
      <c r="M45" s="74"/>
    </row>
    <row r="46" spans="1:15" ht="31.5" customHeight="1" thickBot="1">
      <c r="A46" s="441">
        <v>1</v>
      </c>
      <c r="B46" s="48" t="s">
        <v>1912</v>
      </c>
      <c r="C46" s="48" t="s">
        <v>1913</v>
      </c>
      <c r="D46" s="1315" t="s">
        <v>1914</v>
      </c>
      <c r="E46" s="1387"/>
      <c r="F46" s="1387"/>
      <c r="G46" s="1316"/>
      <c r="H46" s="36" t="s">
        <v>1806</v>
      </c>
      <c r="J46" s="477" t="str">
        <f>IF(AND(E35&gt;0,OR(B46="",C46="",D46="",H46="")),"×","〇")</f>
        <v>〇</v>
      </c>
      <c r="M46" s="74"/>
    </row>
    <row r="47" spans="1:15" ht="31.5" customHeight="1" thickBot="1">
      <c r="A47" s="441">
        <v>2</v>
      </c>
      <c r="B47" s="48"/>
      <c r="C47" s="48"/>
      <c r="D47" s="1315"/>
      <c r="E47" s="1387"/>
      <c r="F47" s="1387"/>
      <c r="G47" s="1316"/>
      <c r="H47" s="36"/>
      <c r="J47" s="661"/>
      <c r="M47" s="74"/>
    </row>
    <row r="48" spans="1:15" ht="31.5" customHeight="1" thickBot="1">
      <c r="A48" s="441">
        <v>3</v>
      </c>
      <c r="B48" s="48"/>
      <c r="C48" s="48"/>
      <c r="D48" s="1315"/>
      <c r="E48" s="1387"/>
      <c r="F48" s="1387"/>
      <c r="G48" s="1316"/>
      <c r="H48" s="36"/>
      <c r="M48" s="74"/>
    </row>
    <row r="49" spans="1:13" ht="31.5" customHeight="1" thickBot="1">
      <c r="A49" s="441">
        <v>4</v>
      </c>
      <c r="B49" s="48"/>
      <c r="C49" s="48"/>
      <c r="D49" s="1315"/>
      <c r="E49" s="1387"/>
      <c r="F49" s="1387"/>
      <c r="G49" s="1316"/>
      <c r="H49" s="36"/>
      <c r="M49" s="74"/>
    </row>
    <row r="50" spans="1:13" ht="31.5" customHeight="1" thickBot="1">
      <c r="A50" s="441">
        <v>5</v>
      </c>
      <c r="B50" s="48"/>
      <c r="C50" s="48"/>
      <c r="D50" s="1315"/>
      <c r="E50" s="1387"/>
      <c r="F50" s="1387"/>
      <c r="G50" s="1316"/>
      <c r="H50" s="36"/>
      <c r="M50" s="74"/>
    </row>
    <row r="51" spans="1:13" ht="31.5" customHeight="1" thickBot="1">
      <c r="A51" s="441">
        <v>6</v>
      </c>
      <c r="B51" s="48"/>
      <c r="C51" s="48"/>
      <c r="D51" s="1315"/>
      <c r="E51" s="1387"/>
      <c r="F51" s="1387"/>
      <c r="G51" s="1316"/>
      <c r="H51" s="36"/>
      <c r="M51" s="74"/>
    </row>
    <row r="52" spans="1:13" ht="31.5" customHeight="1" thickBot="1">
      <c r="A52" s="441">
        <v>7</v>
      </c>
      <c r="B52" s="48"/>
      <c r="C52" s="48"/>
      <c r="D52" s="1315"/>
      <c r="E52" s="1387"/>
      <c r="F52" s="1387"/>
      <c r="G52" s="1316"/>
      <c r="H52" s="36"/>
      <c r="M52" s="74"/>
    </row>
    <row r="53" spans="1:13" ht="31.5" customHeight="1" thickBot="1">
      <c r="A53" s="441">
        <v>8</v>
      </c>
      <c r="B53" s="48"/>
      <c r="C53" s="48"/>
      <c r="D53" s="1315"/>
      <c r="E53" s="1387"/>
      <c r="F53" s="1387"/>
      <c r="G53" s="1316"/>
      <c r="H53" s="36"/>
      <c r="M53" s="74"/>
    </row>
    <row r="54" spans="1:13" ht="31.5" customHeight="1" thickBot="1">
      <c r="A54" s="441">
        <v>9</v>
      </c>
      <c r="B54" s="48"/>
      <c r="C54" s="48"/>
      <c r="D54" s="1315"/>
      <c r="E54" s="1387"/>
      <c r="F54" s="1387"/>
      <c r="G54" s="1316"/>
      <c r="H54" s="36"/>
      <c r="M54" s="74"/>
    </row>
    <row r="55" spans="1:13" ht="31.5" customHeight="1" thickBot="1">
      <c r="A55" s="441">
        <v>10</v>
      </c>
      <c r="B55" s="48"/>
      <c r="C55" s="48"/>
      <c r="D55" s="1315"/>
      <c r="E55" s="1387"/>
      <c r="F55" s="1387"/>
      <c r="G55" s="1316"/>
      <c r="H55" s="36"/>
      <c r="M55" s="74"/>
    </row>
    <row r="56" spans="1:13" ht="31.5" customHeight="1" thickBot="1">
      <c r="A56" s="441">
        <v>11</v>
      </c>
      <c r="B56" s="48"/>
      <c r="C56" s="48"/>
      <c r="D56" s="1315"/>
      <c r="E56" s="1387"/>
      <c r="F56" s="1387"/>
      <c r="G56" s="1316"/>
      <c r="H56" s="36"/>
      <c r="M56" s="151"/>
    </row>
  </sheetData>
  <sheetProtection selectLockedCells="1"/>
  <mergeCells count="55">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9"/>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topLeftCell="A32" zoomScaleNormal="100" zoomScaleSheetLayoutView="100" workbookViewId="0">
      <selection activeCell="D16" sqref="D16:W16"/>
    </sheetView>
  </sheetViews>
  <sheetFormatPr defaultColWidth="9" defaultRowHeight="12"/>
  <cols>
    <col min="1" max="1" width="3.625" style="477" customWidth="1"/>
    <col min="2" max="2" width="28.625" style="477" customWidth="1"/>
    <col min="3" max="3" width="10.625" style="477" customWidth="1"/>
    <col min="4" max="4" width="12.625" style="477" customWidth="1"/>
    <col min="5" max="13" width="2.625" style="477" customWidth="1"/>
    <col min="14" max="14" width="1.625" style="477" customWidth="1"/>
    <col min="15" max="22" width="2.625" style="477" customWidth="1"/>
    <col min="23" max="23" width="9.375" style="477" customWidth="1"/>
    <col min="24" max="24" width="15" style="477" customWidth="1"/>
    <col min="25" max="25" width="2.25" style="477" hidden="1" customWidth="1"/>
    <col min="26" max="26" width="2.25" style="477" customWidth="1"/>
    <col min="27" max="27" width="82.75" style="106" bestFit="1" customWidth="1"/>
    <col min="28" max="16384" width="9" style="477"/>
  </cols>
  <sheetData>
    <row r="1" spans="1:30" ht="19.5" customHeight="1" thickBot="1">
      <c r="A1" s="1545" t="s">
        <v>1111</v>
      </c>
      <c r="B1" s="1545"/>
      <c r="C1" s="1545"/>
      <c r="D1" s="1545"/>
      <c r="E1" s="1545"/>
      <c r="F1" s="1545"/>
      <c r="G1" s="1545"/>
      <c r="H1" s="1545"/>
      <c r="I1" s="1545"/>
      <c r="J1" s="1545"/>
      <c r="K1" s="1545"/>
      <c r="L1" s="1545"/>
      <c r="M1" s="1545"/>
      <c r="N1" s="1545"/>
      <c r="O1" s="1545"/>
      <c r="P1" s="1545"/>
      <c r="Q1" s="1545"/>
      <c r="R1" s="1545"/>
      <c r="S1" s="1545"/>
      <c r="T1" s="1545"/>
      <c r="U1" s="1545"/>
      <c r="V1" s="1545"/>
      <c r="W1" s="1545"/>
      <c r="Y1" s="53"/>
      <c r="Z1" s="53"/>
    </row>
    <row r="2" spans="1:30" ht="24.95" customHeight="1" thickBot="1">
      <c r="A2" s="1381" t="s">
        <v>865</v>
      </c>
      <c r="B2" s="1381"/>
      <c r="C2" s="1381"/>
      <c r="D2" s="1381"/>
      <c r="E2" s="1381"/>
      <c r="F2" s="1381"/>
      <c r="G2" s="1381"/>
      <c r="H2" s="1381"/>
      <c r="I2" s="1381"/>
      <c r="J2" s="1381"/>
      <c r="K2" s="1381"/>
      <c r="L2" s="1381"/>
      <c r="M2" s="1381"/>
      <c r="N2" s="1381"/>
      <c r="O2" s="1381"/>
      <c r="P2" s="1381"/>
      <c r="Q2" s="1381"/>
      <c r="R2" s="1381"/>
      <c r="S2" s="1381"/>
      <c r="T2" s="1381"/>
      <c r="U2" s="1381"/>
      <c r="V2" s="1381"/>
      <c r="W2" s="757" t="str">
        <f>IF(COUNTIF(Y15:Y43,"×")&gt;=1,"未入力あり","入力済")</f>
        <v>入力済</v>
      </c>
      <c r="X2" s="1672"/>
      <c r="Y2" s="53"/>
      <c r="Z2" s="53"/>
    </row>
    <row r="3" spans="1:30" ht="5.0999999999999996" customHeight="1">
      <c r="A3" s="473"/>
      <c r="B3" s="473"/>
      <c r="C3" s="473"/>
      <c r="D3" s="473"/>
      <c r="E3" s="473"/>
      <c r="F3" s="473"/>
      <c r="G3" s="473"/>
      <c r="H3" s="473"/>
      <c r="I3" s="473"/>
      <c r="J3" s="473"/>
      <c r="K3" s="473"/>
      <c r="L3" s="473"/>
      <c r="M3" s="473"/>
      <c r="N3" s="473"/>
      <c r="O3" s="473"/>
      <c r="P3" s="473"/>
      <c r="Q3" s="473"/>
      <c r="R3" s="473"/>
      <c r="S3" s="473"/>
      <c r="T3" s="473"/>
      <c r="U3" s="473"/>
      <c r="V3" s="758"/>
      <c r="W3" s="473"/>
      <c r="X3" s="1672"/>
      <c r="Y3" s="8"/>
      <c r="Z3" s="8"/>
    </row>
    <row r="4" spans="1:30" ht="20.25" customHeight="1">
      <c r="A4" s="473"/>
      <c r="B4" s="473"/>
      <c r="C4" s="473"/>
      <c r="D4" s="473"/>
      <c r="E4" s="759" t="s">
        <v>957</v>
      </c>
      <c r="F4" s="1711" t="str">
        <f>表紙!E2</f>
        <v>パナソニック健康保険組合　松下記念病院</v>
      </c>
      <c r="G4" s="1712"/>
      <c r="H4" s="1712"/>
      <c r="I4" s="1712"/>
      <c r="J4" s="1712"/>
      <c r="K4" s="1712"/>
      <c r="L4" s="1712"/>
      <c r="M4" s="1712"/>
      <c r="N4" s="1712"/>
      <c r="O4" s="1712"/>
      <c r="P4" s="1712"/>
      <c r="Q4" s="1712"/>
      <c r="R4" s="1712"/>
      <c r="S4" s="1712"/>
      <c r="T4" s="1712"/>
      <c r="U4" s="1712"/>
      <c r="V4" s="1712"/>
      <c r="W4" s="1713"/>
      <c r="X4" s="1672"/>
      <c r="Y4" s="53"/>
      <c r="Z4" s="53"/>
    </row>
    <row r="5" spans="1:30" ht="20.25" customHeight="1">
      <c r="A5" s="473"/>
      <c r="B5" s="51"/>
      <c r="C5" s="51"/>
      <c r="D5" s="628"/>
      <c r="E5" s="1143" t="s">
        <v>911</v>
      </c>
      <c r="F5" s="49" t="str">
        <f>別紙1未充足要件!E5</f>
        <v>令和６年９月１日時点</v>
      </c>
      <c r="G5" s="700"/>
      <c r="H5" s="700"/>
      <c r="I5" s="700"/>
      <c r="J5" s="700"/>
      <c r="K5" s="700"/>
      <c r="L5" s="700"/>
      <c r="M5" s="51"/>
      <c r="N5" s="615"/>
      <c r="O5" s="615"/>
      <c r="P5" s="615"/>
      <c r="Q5" s="615"/>
      <c r="R5" s="615"/>
      <c r="S5" s="615"/>
      <c r="T5" s="615"/>
      <c r="U5" s="615"/>
      <c r="V5" s="615"/>
      <c r="W5" s="615"/>
      <c r="X5" s="1672"/>
      <c r="Y5" s="479"/>
      <c r="Z5" s="479"/>
      <c r="AA5" s="177" t="s">
        <v>234</v>
      </c>
    </row>
    <row r="6" spans="1:30" s="727" customFormat="1" ht="42" customHeight="1">
      <c r="A6" s="760"/>
      <c r="B6" s="1709" t="s">
        <v>1112</v>
      </c>
      <c r="C6" s="1710"/>
      <c r="D6" s="1710"/>
      <c r="E6" s="1710"/>
      <c r="F6" s="1710"/>
      <c r="G6" s="1710"/>
      <c r="H6" s="1710"/>
      <c r="I6" s="1710"/>
      <c r="J6" s="1710"/>
      <c r="K6" s="1710"/>
      <c r="L6" s="1710"/>
      <c r="M6" s="1710"/>
      <c r="N6" s="1710"/>
      <c r="O6" s="1710"/>
      <c r="P6" s="1710"/>
      <c r="Q6" s="1710"/>
      <c r="R6" s="1710"/>
      <c r="S6" s="1710"/>
      <c r="T6" s="1710"/>
      <c r="U6" s="1710"/>
      <c r="V6" s="1710"/>
      <c r="W6" s="1710"/>
      <c r="AA6" s="74"/>
      <c r="AC6" s="760"/>
      <c r="AD6" s="761"/>
    </row>
    <row r="7" spans="1:30" s="727" customFormat="1" ht="20.100000000000001" customHeight="1">
      <c r="A7" s="760"/>
      <c r="B7" s="762" t="s">
        <v>1113</v>
      </c>
      <c r="C7" s="763" t="s">
        <v>1114</v>
      </c>
      <c r="D7" s="763" t="s">
        <v>1115</v>
      </c>
      <c r="E7" s="1707" t="s">
        <v>1116</v>
      </c>
      <c r="F7" s="1707"/>
      <c r="G7" s="1707"/>
      <c r="H7" s="1707"/>
      <c r="I7" s="1707"/>
      <c r="J7" s="1707"/>
      <c r="K7" s="1707"/>
      <c r="L7" s="1707"/>
      <c r="M7" s="1707"/>
      <c r="N7" s="1707" t="s">
        <v>1117</v>
      </c>
      <c r="O7" s="1707"/>
      <c r="P7" s="1707"/>
      <c r="Q7" s="1707"/>
      <c r="R7" s="1707"/>
      <c r="S7" s="1707"/>
      <c r="T7" s="1707"/>
      <c r="U7" s="1707"/>
      <c r="V7" s="1707"/>
      <c r="W7" s="764"/>
      <c r="X7" s="764"/>
      <c r="Y7" s="764"/>
      <c r="Z7" s="764"/>
      <c r="AA7" s="74"/>
      <c r="AB7" s="764"/>
      <c r="AC7" s="764"/>
      <c r="AD7" s="761"/>
    </row>
    <row r="8" spans="1:30" s="727" customFormat="1" ht="99.95" customHeight="1">
      <c r="A8" s="760"/>
      <c r="B8" s="765" t="s">
        <v>1118</v>
      </c>
      <c r="C8" s="766" t="s">
        <v>1119</v>
      </c>
      <c r="D8" s="766" t="s">
        <v>1120</v>
      </c>
      <c r="E8" s="1714" t="s">
        <v>1121</v>
      </c>
      <c r="F8" s="1715"/>
      <c r="G8" s="1715"/>
      <c r="H8" s="1715"/>
      <c r="I8" s="1715"/>
      <c r="J8" s="1715"/>
      <c r="K8" s="1715"/>
      <c r="L8" s="1715"/>
      <c r="M8" s="1716"/>
      <c r="N8" s="1708" t="s">
        <v>1122</v>
      </c>
      <c r="O8" s="1708"/>
      <c r="P8" s="1708"/>
      <c r="Q8" s="1708"/>
      <c r="R8" s="1708"/>
      <c r="S8" s="1708"/>
      <c r="T8" s="1708"/>
      <c r="U8" s="1708"/>
      <c r="V8" s="1708"/>
      <c r="W8" s="764"/>
      <c r="X8" s="764"/>
      <c r="Y8" s="764"/>
      <c r="Z8" s="764"/>
      <c r="AA8" s="74"/>
      <c r="AB8" s="764"/>
      <c r="AC8" s="764"/>
      <c r="AD8" s="761"/>
    </row>
    <row r="9" spans="1:30" s="727" customFormat="1" ht="50.1" customHeight="1">
      <c r="A9" s="760"/>
      <c r="B9" s="762" t="s">
        <v>1123</v>
      </c>
      <c r="C9" s="767" t="s">
        <v>1124</v>
      </c>
      <c r="D9" s="762" t="s">
        <v>1125</v>
      </c>
      <c r="E9" s="1707" t="s">
        <v>1126</v>
      </c>
      <c r="F9" s="1707"/>
      <c r="G9" s="1707"/>
      <c r="H9" s="1707"/>
      <c r="I9" s="1707"/>
      <c r="J9" s="1707"/>
      <c r="K9" s="1707"/>
      <c r="L9" s="1707"/>
      <c r="M9" s="1707"/>
      <c r="N9" s="1707" t="s">
        <v>1127</v>
      </c>
      <c r="O9" s="1707"/>
      <c r="P9" s="1707"/>
      <c r="Q9" s="1707"/>
      <c r="R9" s="1707"/>
      <c r="S9" s="1707"/>
      <c r="T9" s="1707"/>
      <c r="U9" s="1707"/>
      <c r="V9" s="1707"/>
      <c r="W9" s="764"/>
      <c r="X9" s="764"/>
      <c r="Y9" s="764"/>
      <c r="Z9" s="764"/>
      <c r="AA9" s="74"/>
      <c r="AB9" s="764"/>
      <c r="AC9" s="764"/>
      <c r="AD9" s="761"/>
    </row>
    <row r="10" spans="1:30" s="727" customFormat="1" ht="50.1" customHeight="1">
      <c r="A10" s="760"/>
      <c r="B10" s="1708" t="s">
        <v>1128</v>
      </c>
      <c r="C10" s="1719" t="s">
        <v>1129</v>
      </c>
      <c r="D10" s="1719" t="s">
        <v>1130</v>
      </c>
      <c r="E10" s="1708" t="s">
        <v>1131</v>
      </c>
      <c r="F10" s="1708"/>
      <c r="G10" s="1708"/>
      <c r="H10" s="1708"/>
      <c r="I10" s="1708"/>
      <c r="J10" s="1708"/>
      <c r="K10" s="1708"/>
      <c r="L10" s="1708"/>
      <c r="M10" s="1722"/>
      <c r="N10" s="1708" t="s">
        <v>1132</v>
      </c>
      <c r="O10" s="1708"/>
      <c r="P10" s="1708"/>
      <c r="Q10" s="1708"/>
      <c r="R10" s="1708"/>
      <c r="S10" s="1708"/>
      <c r="T10" s="1708"/>
      <c r="U10" s="1708"/>
      <c r="V10" s="1708"/>
      <c r="W10" s="764"/>
      <c r="X10" s="764"/>
      <c r="Y10" s="764"/>
      <c r="Z10" s="764"/>
      <c r="AA10" s="74"/>
      <c r="AB10" s="764"/>
      <c r="AC10" s="764"/>
      <c r="AD10" s="761"/>
    </row>
    <row r="11" spans="1:30" s="727" customFormat="1" ht="20.100000000000001" customHeight="1">
      <c r="A11" s="760"/>
      <c r="B11" s="1708"/>
      <c r="C11" s="1720"/>
      <c r="D11" s="1720"/>
      <c r="E11" s="1707" t="s">
        <v>1133</v>
      </c>
      <c r="F11" s="1707"/>
      <c r="G11" s="1707"/>
      <c r="H11" s="1707"/>
      <c r="I11" s="1707"/>
      <c r="J11" s="1707"/>
      <c r="K11" s="1707"/>
      <c r="L11" s="1707"/>
      <c r="M11" s="1707"/>
      <c r="N11" s="1708"/>
      <c r="O11" s="1708"/>
      <c r="P11" s="1708"/>
      <c r="Q11" s="1708"/>
      <c r="R11" s="1708"/>
      <c r="S11" s="1708"/>
      <c r="T11" s="1708"/>
      <c r="U11" s="1708"/>
      <c r="V11" s="1708"/>
      <c r="W11" s="764"/>
      <c r="X11" s="764"/>
      <c r="Y11" s="764"/>
      <c r="Z11" s="764"/>
      <c r="AA11" s="74"/>
      <c r="AB11" s="764"/>
      <c r="AC11" s="764"/>
      <c r="AD11" s="761"/>
    </row>
    <row r="12" spans="1:30" s="727" customFormat="1" ht="50.1" customHeight="1">
      <c r="A12" s="760"/>
      <c r="B12" s="1708"/>
      <c r="C12" s="1721"/>
      <c r="D12" s="1721"/>
      <c r="E12" s="1722" t="s">
        <v>1134</v>
      </c>
      <c r="F12" s="1722"/>
      <c r="G12" s="1722"/>
      <c r="H12" s="1722"/>
      <c r="I12" s="1722"/>
      <c r="J12" s="1722"/>
      <c r="K12" s="1722"/>
      <c r="L12" s="1722"/>
      <c r="M12" s="1722"/>
      <c r="N12" s="1708"/>
      <c r="O12" s="1708"/>
      <c r="P12" s="1708"/>
      <c r="Q12" s="1708"/>
      <c r="R12" s="1708"/>
      <c r="S12" s="1708"/>
      <c r="T12" s="1708"/>
      <c r="U12" s="1708"/>
      <c r="V12" s="1708"/>
      <c r="W12" s="764"/>
      <c r="X12" s="764"/>
      <c r="Y12" s="764"/>
      <c r="Z12" s="764"/>
      <c r="AA12" s="74"/>
      <c r="AB12" s="764"/>
      <c r="AC12" s="764"/>
      <c r="AD12" s="761"/>
    </row>
    <row r="13" spans="1:30" ht="10.5" customHeight="1">
      <c r="A13" s="473"/>
      <c r="B13" s="473"/>
      <c r="C13" s="473"/>
      <c r="D13" s="473"/>
      <c r="E13" s="473"/>
      <c r="F13" s="473"/>
      <c r="G13" s="473"/>
      <c r="H13" s="473"/>
      <c r="I13" s="473"/>
      <c r="J13" s="473"/>
      <c r="K13" s="473"/>
      <c r="L13" s="473"/>
      <c r="M13" s="473"/>
      <c r="N13" s="473"/>
      <c r="O13" s="473"/>
      <c r="P13" s="473"/>
      <c r="Q13" s="473"/>
      <c r="R13" s="473"/>
      <c r="S13" s="473"/>
      <c r="T13" s="473"/>
      <c r="U13" s="473"/>
      <c r="V13" s="473"/>
      <c r="W13" s="473"/>
      <c r="AA13" s="74"/>
    </row>
    <row r="14" spans="1:30" ht="20.25" customHeight="1" thickBot="1">
      <c r="A14" s="768" t="s">
        <v>1135</v>
      </c>
      <c r="B14" s="1724" t="s">
        <v>1136</v>
      </c>
      <c r="C14" s="1724"/>
      <c r="D14" s="1724"/>
      <c r="E14" s="1724"/>
      <c r="F14" s="1724"/>
      <c r="G14" s="1724"/>
      <c r="H14" s="1724"/>
      <c r="I14" s="1724"/>
      <c r="J14" s="1724"/>
      <c r="K14" s="1724"/>
      <c r="L14" s="1724"/>
      <c r="M14" s="1724"/>
      <c r="N14" s="1724"/>
      <c r="O14" s="1724"/>
      <c r="P14" s="1724"/>
      <c r="Q14" s="1724"/>
      <c r="R14" s="1724"/>
      <c r="S14" s="1724"/>
      <c r="T14" s="1724"/>
      <c r="U14" s="1724"/>
      <c r="V14" s="1724"/>
      <c r="W14" s="1724"/>
      <c r="AA14" s="74"/>
    </row>
    <row r="15" spans="1:30" ht="25.5" customHeight="1" thickBot="1">
      <c r="A15" s="769">
        <v>1</v>
      </c>
      <c r="B15" s="770" t="s">
        <v>1137</v>
      </c>
      <c r="C15" s="771"/>
      <c r="D15" s="772"/>
      <c r="E15" s="772"/>
      <c r="F15" s="772"/>
      <c r="G15" s="772"/>
      <c r="H15" s="772"/>
      <c r="I15" s="772"/>
      <c r="J15" s="772"/>
      <c r="K15" s="772"/>
      <c r="L15" s="772"/>
      <c r="M15" s="772"/>
      <c r="N15" s="772"/>
      <c r="O15" s="772"/>
      <c r="P15" s="772"/>
      <c r="Q15" s="772"/>
      <c r="R15" s="772"/>
      <c r="S15" s="772"/>
      <c r="T15" s="772"/>
      <c r="U15" s="772"/>
      <c r="V15" s="772"/>
      <c r="W15" s="36" t="s">
        <v>1808</v>
      </c>
      <c r="Y15" s="477" t="str">
        <f>IF(W15="","×","○")</f>
        <v>○</v>
      </c>
      <c r="AA15" s="74"/>
    </row>
    <row r="16" spans="1:30" ht="25.5" customHeight="1" thickBot="1">
      <c r="A16" s="773">
        <v>2</v>
      </c>
      <c r="B16" s="1385" t="s">
        <v>1138</v>
      </c>
      <c r="C16" s="1386"/>
      <c r="D16" s="1502" t="s">
        <v>1917</v>
      </c>
      <c r="E16" s="1503"/>
      <c r="F16" s="1503"/>
      <c r="G16" s="1503"/>
      <c r="H16" s="1503"/>
      <c r="I16" s="1503"/>
      <c r="J16" s="1503"/>
      <c r="K16" s="1503"/>
      <c r="L16" s="1503"/>
      <c r="M16" s="1503"/>
      <c r="N16" s="1503"/>
      <c r="O16" s="1503"/>
      <c r="P16" s="1503"/>
      <c r="Q16" s="1503"/>
      <c r="R16" s="1503"/>
      <c r="S16" s="1503"/>
      <c r="T16" s="1503"/>
      <c r="U16" s="1503"/>
      <c r="V16" s="1503"/>
      <c r="W16" s="1504"/>
      <c r="Y16" s="479" t="str">
        <f>IF(AND($W$15="はい",D16=""),"×","○")</f>
        <v>○</v>
      </c>
      <c r="Z16" s="479"/>
      <c r="AA16" s="74"/>
    </row>
    <row r="17" spans="1:27" ht="25.5" customHeight="1" thickBot="1">
      <c r="A17" s="773">
        <v>3</v>
      </c>
      <c r="B17" s="1388" t="s">
        <v>1139</v>
      </c>
      <c r="C17" s="1695"/>
      <c r="D17" s="1696"/>
      <c r="E17" s="1696"/>
      <c r="F17" s="1696"/>
      <c r="G17" s="1696"/>
      <c r="H17" s="1696"/>
      <c r="I17" s="1696"/>
      <c r="J17" s="1696"/>
      <c r="K17" s="1696"/>
      <c r="L17" s="1696"/>
      <c r="M17" s="1696"/>
      <c r="N17" s="1442" t="s">
        <v>1915</v>
      </c>
      <c r="O17" s="1443"/>
      <c r="P17" s="1443"/>
      <c r="Q17" s="1443"/>
      <c r="R17" s="1443"/>
      <c r="S17" s="1443"/>
      <c r="T17" s="1443"/>
      <c r="U17" s="1443"/>
      <c r="V17" s="1725"/>
      <c r="W17" s="1726"/>
      <c r="Y17" s="479" t="str">
        <f>IF(AND($W$15="はい",N17=""),"×","○")</f>
        <v>○</v>
      </c>
      <c r="Z17" s="479"/>
      <c r="AA17" s="74"/>
    </row>
    <row r="18" spans="1:27" ht="50.1" customHeight="1" thickBot="1">
      <c r="A18" s="773">
        <v>4</v>
      </c>
      <c r="B18" s="1385" t="s">
        <v>1140</v>
      </c>
      <c r="C18" s="1386"/>
      <c r="D18" s="1315" t="s">
        <v>1916</v>
      </c>
      <c r="E18" s="1387"/>
      <c r="F18" s="1387"/>
      <c r="G18" s="1387"/>
      <c r="H18" s="1387"/>
      <c r="I18" s="1387"/>
      <c r="J18" s="1387"/>
      <c r="K18" s="1387"/>
      <c r="L18" s="1387"/>
      <c r="M18" s="1387"/>
      <c r="N18" s="1387"/>
      <c r="O18" s="1387"/>
      <c r="P18" s="1387"/>
      <c r="Q18" s="1387"/>
      <c r="R18" s="1387"/>
      <c r="S18" s="1387"/>
      <c r="T18" s="1387"/>
      <c r="U18" s="1387"/>
      <c r="V18" s="1387"/>
      <c r="W18" s="1316"/>
      <c r="Y18" s="479" t="str">
        <f>IF(AND($W$15="はい",D18=""),"×","○")</f>
        <v>○</v>
      </c>
      <c r="Z18" s="479"/>
      <c r="AA18" s="74"/>
    </row>
    <row r="19" spans="1:27" ht="25.5" customHeight="1" thickBot="1">
      <c r="A19" s="774">
        <v>5</v>
      </c>
      <c r="B19" s="1723" t="s">
        <v>1141</v>
      </c>
      <c r="C19" s="1693"/>
      <c r="D19" s="1694"/>
      <c r="E19" s="1694"/>
      <c r="F19" s="1694"/>
      <c r="G19" s="1694"/>
      <c r="H19" s="1694"/>
      <c r="I19" s="1694"/>
      <c r="J19" s="1694"/>
      <c r="K19" s="1694"/>
      <c r="L19" s="1694"/>
      <c r="M19" s="1694"/>
      <c r="N19" s="1694"/>
      <c r="O19" s="1694"/>
      <c r="P19" s="1694"/>
      <c r="Q19" s="1694"/>
      <c r="R19" s="1694"/>
      <c r="S19" s="1694"/>
      <c r="T19" s="1694"/>
      <c r="U19" s="1694"/>
      <c r="V19" s="1694"/>
      <c r="W19" s="36" t="s">
        <v>1808</v>
      </c>
      <c r="Y19" s="479" t="str">
        <f>IF(AND($W$15="はい",W19=""),"×","○")</f>
        <v>○</v>
      </c>
      <c r="Z19" s="479"/>
      <c r="AA19" s="74"/>
    </row>
    <row r="20" spans="1:27" ht="20.25" customHeight="1">
      <c r="A20" s="473"/>
      <c r="B20" s="473"/>
      <c r="C20" s="473"/>
      <c r="D20" s="473"/>
      <c r="E20" s="473"/>
      <c r="F20" s="473"/>
      <c r="G20" s="473"/>
      <c r="H20" s="473"/>
      <c r="I20" s="473"/>
      <c r="J20" s="473"/>
      <c r="K20" s="473"/>
      <c r="L20" s="473"/>
      <c r="M20" s="473"/>
      <c r="N20" s="473"/>
      <c r="O20" s="473"/>
      <c r="P20" s="473"/>
      <c r="Q20" s="473"/>
      <c r="R20" s="473"/>
      <c r="S20" s="473"/>
      <c r="T20" s="473"/>
      <c r="U20" s="473"/>
      <c r="V20" s="473"/>
      <c r="W20" s="473"/>
      <c r="AA20" s="74"/>
    </row>
    <row r="21" spans="1:27" ht="25.5" customHeight="1" thickBot="1">
      <c r="A21" s="775" t="s">
        <v>1142</v>
      </c>
      <c r="B21" s="776" t="s">
        <v>1143</v>
      </c>
      <c r="C21" s="776"/>
      <c r="D21" s="776"/>
      <c r="E21" s="776"/>
      <c r="F21" s="776"/>
      <c r="G21" s="776"/>
      <c r="H21" s="776"/>
      <c r="I21" s="776"/>
      <c r="J21" s="776"/>
      <c r="K21" s="776"/>
      <c r="L21" s="776"/>
      <c r="M21" s="776"/>
      <c r="N21" s="776"/>
      <c r="O21" s="776"/>
      <c r="P21" s="776"/>
      <c r="Q21" s="776"/>
      <c r="R21" s="776"/>
      <c r="S21" s="776"/>
      <c r="T21" s="776"/>
      <c r="U21" s="776"/>
      <c r="V21" s="776"/>
      <c r="W21" s="776"/>
      <c r="AA21" s="74"/>
    </row>
    <row r="22" spans="1:27" ht="33" customHeight="1" thickBot="1">
      <c r="A22" s="769">
        <v>1</v>
      </c>
      <c r="B22" s="1700" t="s">
        <v>1144</v>
      </c>
      <c r="C22" s="1701"/>
      <c r="D22" s="36" t="s">
        <v>1809</v>
      </c>
      <c r="E22" s="777" t="s">
        <v>1145</v>
      </c>
      <c r="F22" s="777"/>
      <c r="G22" s="777"/>
      <c r="H22" s="777"/>
      <c r="I22" s="777"/>
      <c r="J22" s="778"/>
      <c r="K22" s="1703" t="s">
        <v>1146</v>
      </c>
      <c r="L22" s="1703"/>
      <c r="M22" s="1703"/>
      <c r="N22" s="1703"/>
      <c r="O22" s="1703"/>
      <c r="P22" s="1703"/>
      <c r="Q22" s="1703"/>
      <c r="R22" s="1703"/>
      <c r="S22" s="1703"/>
      <c r="T22" s="1703"/>
      <c r="U22" s="1703"/>
      <c r="V22" s="1703"/>
      <c r="W22" s="1704"/>
      <c r="Y22" s="477" t="str">
        <f>IF(D22="","×","○")</f>
        <v>○</v>
      </c>
      <c r="AA22" s="74"/>
    </row>
    <row r="23" spans="1:27" ht="28.5" customHeight="1" thickBot="1">
      <c r="A23" s="773">
        <v>2</v>
      </c>
      <c r="B23" s="1392" t="s">
        <v>1147</v>
      </c>
      <c r="C23" s="1702"/>
      <c r="D23" s="37"/>
      <c r="E23" s="502" t="s">
        <v>1145</v>
      </c>
      <c r="F23" s="502"/>
      <c r="G23" s="502"/>
      <c r="H23" s="502"/>
      <c r="I23" s="502"/>
      <c r="J23" s="779"/>
      <c r="K23" s="1705"/>
      <c r="L23" s="1705"/>
      <c r="M23" s="1705"/>
      <c r="N23" s="1705"/>
      <c r="O23" s="1705"/>
      <c r="P23" s="1705"/>
      <c r="Q23" s="1705"/>
      <c r="R23" s="1705"/>
      <c r="S23" s="1705"/>
      <c r="T23" s="1705"/>
      <c r="U23" s="1705"/>
      <c r="V23" s="1705"/>
      <c r="W23" s="1706"/>
      <c r="Y23" s="479" t="str">
        <f>IF(AND($D$22="はい",D23=""),"×","○")</f>
        <v>○</v>
      </c>
      <c r="Z23" s="479"/>
      <c r="AA23" s="74"/>
    </row>
    <row r="24" spans="1:27" ht="25.5" customHeight="1" thickBot="1">
      <c r="A24" s="773">
        <v>3</v>
      </c>
      <c r="B24" s="1385" t="s">
        <v>1138</v>
      </c>
      <c r="C24" s="1386"/>
      <c r="D24" s="1502"/>
      <c r="E24" s="1503"/>
      <c r="F24" s="1503"/>
      <c r="G24" s="1503"/>
      <c r="H24" s="1503"/>
      <c r="I24" s="1503"/>
      <c r="J24" s="1503"/>
      <c r="K24" s="1503"/>
      <c r="L24" s="1503"/>
      <c r="M24" s="1503"/>
      <c r="N24" s="1503"/>
      <c r="O24" s="1503"/>
      <c r="P24" s="1503"/>
      <c r="Q24" s="1503"/>
      <c r="R24" s="1503"/>
      <c r="S24" s="1503"/>
      <c r="T24" s="1503"/>
      <c r="U24" s="1503"/>
      <c r="V24" s="1503"/>
      <c r="W24" s="1504"/>
      <c r="Y24" s="479" t="str">
        <f>IF(AND($D$22="はい",D24=""),"×","○")</f>
        <v>○</v>
      </c>
      <c r="Z24" s="479"/>
      <c r="AA24" s="74"/>
    </row>
    <row r="25" spans="1:27" ht="25.5" customHeight="1" thickBot="1">
      <c r="A25" s="773">
        <v>4</v>
      </c>
      <c r="B25" s="1385" t="s">
        <v>1148</v>
      </c>
      <c r="C25" s="1386"/>
      <c r="D25" s="1315"/>
      <c r="E25" s="1387"/>
      <c r="F25" s="1387"/>
      <c r="G25" s="1387"/>
      <c r="H25" s="1387"/>
      <c r="I25" s="1387"/>
      <c r="J25" s="1387"/>
      <c r="K25" s="1387"/>
      <c r="L25" s="1387"/>
      <c r="M25" s="1387"/>
      <c r="N25" s="1387"/>
      <c r="O25" s="1387"/>
      <c r="P25" s="1387"/>
      <c r="Q25" s="1387"/>
      <c r="R25" s="1387"/>
      <c r="S25" s="1387"/>
      <c r="T25" s="1387"/>
      <c r="U25" s="1387"/>
      <c r="V25" s="1387"/>
      <c r="W25" s="1316"/>
      <c r="Y25" s="479" t="str">
        <f>IF(AND($D$22="はい",D25=""),"×","○")</f>
        <v>○</v>
      </c>
      <c r="Z25" s="479"/>
      <c r="AA25" s="74"/>
    </row>
    <row r="26" spans="1:27" ht="25.5" customHeight="1" thickBot="1">
      <c r="A26" s="773">
        <v>5</v>
      </c>
      <c r="B26" s="1392" t="s">
        <v>1149</v>
      </c>
      <c r="C26" s="1393"/>
      <c r="D26" s="1315"/>
      <c r="E26" s="1387"/>
      <c r="F26" s="1387"/>
      <c r="G26" s="1387"/>
      <c r="H26" s="1387"/>
      <c r="I26" s="1387"/>
      <c r="J26" s="1387"/>
      <c r="K26" s="1387"/>
      <c r="L26" s="1387"/>
      <c r="M26" s="1387"/>
      <c r="N26" s="1387"/>
      <c r="O26" s="1387"/>
      <c r="P26" s="1387"/>
      <c r="Q26" s="1387"/>
      <c r="R26" s="1387"/>
      <c r="S26" s="1387"/>
      <c r="T26" s="1387"/>
      <c r="U26" s="1387"/>
      <c r="V26" s="1387"/>
      <c r="W26" s="1316"/>
      <c r="Y26" s="479" t="str">
        <f>IF(AND($D$22="はい",D26=""),"×","○")</f>
        <v>○</v>
      </c>
      <c r="Z26" s="479"/>
      <c r="AA26" s="74"/>
    </row>
    <row r="27" spans="1:27" ht="42.6" customHeight="1" thickBot="1">
      <c r="A27" s="773">
        <v>6</v>
      </c>
      <c r="B27" s="1717" t="s">
        <v>1150</v>
      </c>
      <c r="C27" s="1718"/>
      <c r="D27" s="38"/>
      <c r="E27" s="780" t="s">
        <v>1151</v>
      </c>
      <c r="F27" s="781"/>
      <c r="G27" s="781"/>
      <c r="H27" s="781"/>
      <c r="I27" s="781"/>
      <c r="J27" s="781"/>
      <c r="K27" s="781"/>
      <c r="L27" s="781"/>
      <c r="M27" s="781"/>
      <c r="N27" s="781"/>
      <c r="O27" s="781"/>
      <c r="P27" s="781"/>
      <c r="Q27" s="781"/>
      <c r="R27" s="781"/>
      <c r="S27" s="781"/>
      <c r="T27" s="781"/>
      <c r="U27" s="781"/>
      <c r="V27" s="781"/>
      <c r="W27" s="782"/>
      <c r="Y27" s="479" t="str">
        <f>IF(AND($D$22="はい",D27=""),"×","○")</f>
        <v>○</v>
      </c>
      <c r="Z27" s="479"/>
      <c r="AA27" s="74"/>
    </row>
    <row r="28" spans="1:27" ht="24.95" customHeight="1" thickBot="1">
      <c r="A28" s="774">
        <v>7</v>
      </c>
      <c r="B28" s="1692" t="s">
        <v>1152</v>
      </c>
      <c r="C28" s="1693"/>
      <c r="D28" s="1694"/>
      <c r="E28" s="1694"/>
      <c r="F28" s="1694"/>
      <c r="G28" s="1694"/>
      <c r="H28" s="1694"/>
      <c r="I28" s="1694"/>
      <c r="J28" s="1694"/>
      <c r="K28" s="1694"/>
      <c r="L28" s="1694"/>
      <c r="M28" s="1694"/>
      <c r="N28" s="1694"/>
      <c r="O28" s="1694"/>
      <c r="P28" s="1694"/>
      <c r="Q28" s="1694"/>
      <c r="R28" s="1694"/>
      <c r="S28" s="1694"/>
      <c r="T28" s="1694"/>
      <c r="U28" s="1694"/>
      <c r="V28" s="1694"/>
      <c r="W28" s="36"/>
      <c r="Y28" s="479" t="str">
        <f>IF(AND($D$22="はい",W28=""),"×","○")</f>
        <v>○</v>
      </c>
      <c r="Z28" s="479"/>
      <c r="AA28" s="74"/>
    </row>
    <row r="29" spans="1:27" ht="20.25" customHeight="1">
      <c r="A29" s="473"/>
      <c r="B29" s="473"/>
      <c r="C29" s="473"/>
      <c r="D29" s="473"/>
      <c r="E29" s="473"/>
      <c r="F29" s="473"/>
      <c r="G29" s="473"/>
      <c r="H29" s="473"/>
      <c r="I29" s="473"/>
      <c r="J29" s="473"/>
      <c r="K29" s="473"/>
      <c r="L29" s="473"/>
      <c r="M29" s="473"/>
      <c r="N29" s="473"/>
      <c r="O29" s="473"/>
      <c r="P29" s="473"/>
      <c r="Q29" s="473"/>
      <c r="R29" s="473"/>
      <c r="S29" s="473"/>
      <c r="T29" s="473"/>
      <c r="U29" s="473"/>
      <c r="V29" s="473"/>
      <c r="W29" s="473"/>
      <c r="AA29" s="74"/>
    </row>
    <row r="30" spans="1:27" ht="25.5" customHeight="1" thickBot="1">
      <c r="A30" s="775" t="s">
        <v>1153</v>
      </c>
      <c r="B30" s="776" t="s">
        <v>1154</v>
      </c>
      <c r="C30" s="783"/>
      <c r="D30" s="783"/>
      <c r="E30" s="783"/>
      <c r="F30" s="783"/>
      <c r="G30" s="783"/>
      <c r="H30" s="783"/>
      <c r="I30" s="783"/>
      <c r="J30" s="783"/>
      <c r="K30" s="783"/>
      <c r="L30" s="783"/>
      <c r="M30" s="783"/>
      <c r="N30" s="783"/>
      <c r="O30" s="783"/>
      <c r="P30" s="783"/>
      <c r="Q30" s="783"/>
      <c r="R30" s="783"/>
      <c r="S30" s="783"/>
      <c r="T30" s="783"/>
      <c r="U30" s="783"/>
      <c r="V30" s="783"/>
      <c r="W30" s="783"/>
      <c r="AA30" s="74"/>
    </row>
    <row r="31" spans="1:27" ht="24" customHeight="1" thickBot="1">
      <c r="A31" s="769">
        <v>1</v>
      </c>
      <c r="B31" s="1697" t="s">
        <v>1155</v>
      </c>
      <c r="C31" s="1698"/>
      <c r="D31" s="1699"/>
      <c r="E31" s="1699"/>
      <c r="F31" s="1699"/>
      <c r="G31" s="1699"/>
      <c r="H31" s="1699"/>
      <c r="I31" s="1699"/>
      <c r="J31" s="1699"/>
      <c r="K31" s="1699"/>
      <c r="L31" s="1699"/>
      <c r="M31" s="1699"/>
      <c r="N31" s="1699"/>
      <c r="O31" s="1699"/>
      <c r="P31" s="1699"/>
      <c r="Q31" s="1699"/>
      <c r="R31" s="1699"/>
      <c r="S31" s="1699"/>
      <c r="T31" s="1699"/>
      <c r="U31" s="1699"/>
      <c r="V31" s="1699"/>
      <c r="W31" s="36" t="s">
        <v>1809</v>
      </c>
      <c r="Y31" s="477" t="str">
        <f>IF(W31="","×","○")</f>
        <v>○</v>
      </c>
      <c r="AA31" s="74"/>
    </row>
    <row r="32" spans="1:27" ht="24" customHeight="1" thickBot="1">
      <c r="A32" s="773">
        <v>2</v>
      </c>
      <c r="B32" s="1385" t="s">
        <v>1138</v>
      </c>
      <c r="C32" s="1386"/>
      <c r="D32" s="1502"/>
      <c r="E32" s="1503"/>
      <c r="F32" s="1503"/>
      <c r="G32" s="1503"/>
      <c r="H32" s="1503"/>
      <c r="I32" s="1503"/>
      <c r="J32" s="1503"/>
      <c r="K32" s="1503"/>
      <c r="L32" s="1503"/>
      <c r="M32" s="1503"/>
      <c r="N32" s="1503"/>
      <c r="O32" s="1503"/>
      <c r="P32" s="1503"/>
      <c r="Q32" s="1503"/>
      <c r="R32" s="1503"/>
      <c r="S32" s="1503"/>
      <c r="T32" s="1503"/>
      <c r="U32" s="1503"/>
      <c r="V32" s="1503"/>
      <c r="W32" s="1504"/>
      <c r="Y32" s="479" t="str">
        <f>IF(AND($W$31="はい",D32=""),"×","○")</f>
        <v>○</v>
      </c>
      <c r="Z32" s="479"/>
      <c r="AA32" s="74"/>
    </row>
    <row r="33" spans="1:27" ht="25.5" customHeight="1" thickBot="1">
      <c r="A33" s="774">
        <v>3</v>
      </c>
      <c r="B33" s="1692" t="s">
        <v>1152</v>
      </c>
      <c r="C33" s="1693"/>
      <c r="D33" s="1694"/>
      <c r="E33" s="1694"/>
      <c r="F33" s="1694"/>
      <c r="G33" s="1694"/>
      <c r="H33" s="1694"/>
      <c r="I33" s="1694"/>
      <c r="J33" s="1694"/>
      <c r="K33" s="1694"/>
      <c r="L33" s="1694"/>
      <c r="M33" s="1694"/>
      <c r="N33" s="1694"/>
      <c r="O33" s="1694"/>
      <c r="P33" s="1694"/>
      <c r="Q33" s="1694"/>
      <c r="R33" s="1694"/>
      <c r="S33" s="1694"/>
      <c r="T33" s="1694"/>
      <c r="U33" s="1694"/>
      <c r="V33" s="1694"/>
      <c r="W33" s="36"/>
      <c r="Y33" s="479" t="str">
        <f>IF(AND($W$31="はい",W33=""),"×","○")</f>
        <v>○</v>
      </c>
      <c r="Z33" s="479"/>
      <c r="AA33" s="74"/>
    </row>
    <row r="34" spans="1:27" ht="20.25" customHeight="1">
      <c r="A34" s="473"/>
      <c r="B34" s="473"/>
      <c r="C34" s="473"/>
      <c r="D34" s="473"/>
      <c r="E34" s="473"/>
      <c r="F34" s="473"/>
      <c r="G34" s="473"/>
      <c r="H34" s="473"/>
      <c r="I34" s="473"/>
      <c r="J34" s="473"/>
      <c r="K34" s="473"/>
      <c r="L34" s="473"/>
      <c r="M34" s="473"/>
      <c r="N34" s="473"/>
      <c r="O34" s="473"/>
      <c r="P34" s="473"/>
      <c r="Q34" s="473"/>
      <c r="R34" s="473"/>
      <c r="S34" s="473"/>
      <c r="T34" s="473"/>
      <c r="U34" s="473"/>
      <c r="V34" s="473"/>
      <c r="W34" s="473"/>
      <c r="AA34" s="74"/>
    </row>
    <row r="35" spans="1:27" ht="25.5" customHeight="1" thickBot="1">
      <c r="A35" s="775" t="s">
        <v>1156</v>
      </c>
      <c r="B35" s="776" t="s">
        <v>1157</v>
      </c>
      <c r="C35" s="776"/>
      <c r="D35" s="776"/>
      <c r="E35" s="776"/>
      <c r="F35" s="776"/>
      <c r="G35" s="776"/>
      <c r="H35" s="776"/>
      <c r="I35" s="776"/>
      <c r="J35" s="776"/>
      <c r="K35" s="776"/>
      <c r="L35" s="776"/>
      <c r="M35" s="776"/>
      <c r="N35" s="776"/>
      <c r="O35" s="776"/>
      <c r="P35" s="776"/>
      <c r="Q35" s="776"/>
      <c r="R35" s="776"/>
      <c r="S35" s="776"/>
      <c r="T35" s="776"/>
      <c r="U35" s="776"/>
      <c r="V35" s="776"/>
      <c r="W35" s="776"/>
      <c r="AA35" s="74"/>
    </row>
    <row r="36" spans="1:27" ht="25.5" customHeight="1" thickBot="1">
      <c r="A36" s="769">
        <v>1</v>
      </c>
      <c r="B36" s="1697" t="s">
        <v>1158</v>
      </c>
      <c r="C36" s="1698"/>
      <c r="D36" s="1699"/>
      <c r="E36" s="1699"/>
      <c r="F36" s="1699"/>
      <c r="G36" s="1699"/>
      <c r="H36" s="1699"/>
      <c r="I36" s="1699"/>
      <c r="J36" s="1699"/>
      <c r="K36" s="1699"/>
      <c r="L36" s="1699"/>
      <c r="M36" s="1699"/>
      <c r="N36" s="1699"/>
      <c r="O36" s="1699"/>
      <c r="P36" s="1699"/>
      <c r="Q36" s="1699"/>
      <c r="R36" s="1699"/>
      <c r="S36" s="1699"/>
      <c r="T36" s="1699"/>
      <c r="U36" s="1699"/>
      <c r="V36" s="1699"/>
      <c r="W36" s="36" t="s">
        <v>1809</v>
      </c>
      <c r="Y36" s="477" t="str">
        <f>IF(W36="","×","○")</f>
        <v>○</v>
      </c>
      <c r="AA36" s="74"/>
    </row>
    <row r="37" spans="1:27" ht="25.5" customHeight="1" thickBot="1">
      <c r="A37" s="773">
        <v>2</v>
      </c>
      <c r="B37" s="1385" t="s">
        <v>1138</v>
      </c>
      <c r="C37" s="1386"/>
      <c r="D37" s="1502"/>
      <c r="E37" s="1503"/>
      <c r="F37" s="1503"/>
      <c r="G37" s="1503"/>
      <c r="H37" s="1503"/>
      <c r="I37" s="1503"/>
      <c r="J37" s="1503"/>
      <c r="K37" s="1503"/>
      <c r="L37" s="1503"/>
      <c r="M37" s="1503"/>
      <c r="N37" s="1503"/>
      <c r="O37" s="1503"/>
      <c r="P37" s="1503"/>
      <c r="Q37" s="1503"/>
      <c r="R37" s="1503"/>
      <c r="S37" s="1503"/>
      <c r="T37" s="1503"/>
      <c r="U37" s="1503"/>
      <c r="V37" s="1503"/>
      <c r="W37" s="1504"/>
      <c r="Y37" s="479" t="str">
        <f>IF(AND($W$36="はい",D37=""),"×","○")</f>
        <v>○</v>
      </c>
      <c r="Z37" s="479"/>
      <c r="AA37" s="74"/>
    </row>
    <row r="38" spans="1:27" ht="20.25" customHeight="1" thickBot="1">
      <c r="A38" s="774">
        <v>3</v>
      </c>
      <c r="B38" s="1692" t="s">
        <v>1152</v>
      </c>
      <c r="C38" s="1693"/>
      <c r="D38" s="1694"/>
      <c r="E38" s="1694"/>
      <c r="F38" s="1694"/>
      <c r="G38" s="1694"/>
      <c r="H38" s="1694"/>
      <c r="I38" s="1694"/>
      <c r="J38" s="1694"/>
      <c r="K38" s="1694"/>
      <c r="L38" s="1694"/>
      <c r="M38" s="1694"/>
      <c r="N38" s="1694"/>
      <c r="O38" s="1694"/>
      <c r="P38" s="1694"/>
      <c r="Q38" s="1694"/>
      <c r="R38" s="1694"/>
      <c r="S38" s="1694"/>
      <c r="T38" s="1694"/>
      <c r="U38" s="1694"/>
      <c r="V38" s="1694"/>
      <c r="W38" s="36"/>
      <c r="Y38" s="479" t="str">
        <f>IF(AND($W$36="はい",W38=""),"×","○")</f>
        <v>○</v>
      </c>
      <c r="Z38" s="479"/>
      <c r="AA38" s="74"/>
    </row>
    <row r="39" spans="1:27" ht="20.25" customHeight="1">
      <c r="A39" s="473"/>
      <c r="B39" s="473"/>
      <c r="C39" s="473"/>
      <c r="D39" s="473"/>
      <c r="E39" s="473"/>
      <c r="F39" s="473"/>
      <c r="G39" s="473"/>
      <c r="H39" s="473"/>
      <c r="I39" s="473"/>
      <c r="J39" s="473"/>
      <c r="K39" s="473"/>
      <c r="L39" s="473"/>
      <c r="M39" s="473"/>
      <c r="N39" s="473"/>
      <c r="O39" s="473"/>
      <c r="P39" s="473"/>
      <c r="Q39" s="473"/>
      <c r="R39" s="473"/>
      <c r="S39" s="473"/>
      <c r="T39" s="473"/>
      <c r="U39" s="473"/>
      <c r="V39" s="473"/>
      <c r="W39" s="473"/>
      <c r="AA39" s="74"/>
    </row>
    <row r="40" spans="1:27" ht="25.5" customHeight="1" thickBot="1">
      <c r="A40" s="775" t="s">
        <v>1159</v>
      </c>
      <c r="B40" s="776" t="s">
        <v>1160</v>
      </c>
      <c r="AA40" s="74"/>
    </row>
    <row r="41" spans="1:27" ht="25.5" customHeight="1" thickBot="1">
      <c r="A41" s="769">
        <v>1</v>
      </c>
      <c r="B41" s="1697" t="s">
        <v>1161</v>
      </c>
      <c r="C41" s="1698"/>
      <c r="D41" s="1699"/>
      <c r="E41" s="1699"/>
      <c r="F41" s="1699"/>
      <c r="G41" s="1699"/>
      <c r="H41" s="1699"/>
      <c r="I41" s="1699"/>
      <c r="J41" s="1699"/>
      <c r="K41" s="1699"/>
      <c r="L41" s="1699"/>
      <c r="M41" s="1699"/>
      <c r="N41" s="1699"/>
      <c r="O41" s="1699"/>
      <c r="P41" s="1699"/>
      <c r="Q41" s="1699"/>
      <c r="R41" s="1699"/>
      <c r="S41" s="1699"/>
      <c r="T41" s="1699"/>
      <c r="U41" s="1699"/>
      <c r="V41" s="1699"/>
      <c r="W41" s="36" t="s">
        <v>1809</v>
      </c>
      <c r="Y41" s="477" t="str">
        <f>IF(W41="","×","○")</f>
        <v>○</v>
      </c>
      <c r="AA41" s="74"/>
    </row>
    <row r="42" spans="1:27" ht="25.5" customHeight="1" thickBot="1">
      <c r="A42" s="773">
        <v>2</v>
      </c>
      <c r="B42" s="1392" t="s">
        <v>1138</v>
      </c>
      <c r="C42" s="1393"/>
      <c r="D42" s="1502"/>
      <c r="E42" s="1503"/>
      <c r="F42" s="1503"/>
      <c r="G42" s="1503"/>
      <c r="H42" s="1503"/>
      <c r="I42" s="1503"/>
      <c r="J42" s="1503"/>
      <c r="K42" s="1503"/>
      <c r="L42" s="1503"/>
      <c r="M42" s="1503"/>
      <c r="N42" s="1503"/>
      <c r="O42" s="1503"/>
      <c r="P42" s="1503"/>
      <c r="Q42" s="1503"/>
      <c r="R42" s="1503"/>
      <c r="S42" s="1503"/>
      <c r="T42" s="1503"/>
      <c r="U42" s="1503"/>
      <c r="V42" s="1503"/>
      <c r="W42" s="1504"/>
      <c r="Y42" s="479" t="str">
        <f>IF(AND($W$41="はい",D42=""),"×","○")</f>
        <v>○</v>
      </c>
      <c r="Z42" s="479"/>
      <c r="AA42" s="74"/>
    </row>
    <row r="43" spans="1:27" ht="18" customHeight="1" thickBot="1">
      <c r="A43" s="774">
        <v>3</v>
      </c>
      <c r="B43" s="1692" t="s">
        <v>1152</v>
      </c>
      <c r="C43" s="1693"/>
      <c r="D43" s="1694"/>
      <c r="E43" s="1694"/>
      <c r="F43" s="1694"/>
      <c r="G43" s="1694"/>
      <c r="H43" s="1694"/>
      <c r="I43" s="1694"/>
      <c r="J43" s="1694"/>
      <c r="K43" s="1694"/>
      <c r="L43" s="1694"/>
      <c r="M43" s="1694"/>
      <c r="N43" s="1694"/>
      <c r="O43" s="1694"/>
      <c r="P43" s="1694"/>
      <c r="Q43" s="1694"/>
      <c r="R43" s="1694"/>
      <c r="S43" s="1694"/>
      <c r="T43" s="1694"/>
      <c r="U43" s="1694"/>
      <c r="V43" s="1694"/>
      <c r="W43" s="36"/>
      <c r="Y43" s="479" t="str">
        <f>IF(AND($W$41="はい",W43=""),"×","○")</f>
        <v>○</v>
      </c>
      <c r="Z43" s="479"/>
      <c r="AA43" s="74"/>
    </row>
    <row r="44" spans="1:27" ht="20.25" customHeight="1">
      <c r="A44" s="473"/>
      <c r="B44" s="473"/>
      <c r="C44" s="473"/>
      <c r="D44" s="473"/>
      <c r="E44" s="473"/>
      <c r="F44" s="473"/>
      <c r="G44" s="473"/>
      <c r="H44" s="473"/>
      <c r="I44" s="473"/>
      <c r="J44" s="473"/>
      <c r="K44" s="473"/>
      <c r="L44" s="473"/>
      <c r="M44" s="473"/>
      <c r="N44" s="473"/>
      <c r="O44" s="473"/>
      <c r="P44" s="473"/>
      <c r="Q44" s="473"/>
      <c r="R44" s="473"/>
      <c r="S44" s="473"/>
      <c r="T44" s="473"/>
      <c r="U44" s="473"/>
      <c r="V44" s="473"/>
      <c r="W44" s="473"/>
      <c r="AA44" s="74"/>
    </row>
    <row r="45" spans="1:27" ht="14.25">
      <c r="A45" s="775" t="s">
        <v>1162</v>
      </c>
      <c r="B45" s="776" t="s">
        <v>1163</v>
      </c>
      <c r="AA45" s="74"/>
    </row>
    <row r="46" spans="1:27" ht="14.25" customHeight="1" thickBot="1">
      <c r="A46" s="784">
        <v>1</v>
      </c>
      <c r="B46" s="496" t="s">
        <v>1164</v>
      </c>
      <c r="C46" s="785"/>
      <c r="D46" s="785"/>
      <c r="E46" s="785"/>
      <c r="F46" s="785"/>
      <c r="G46" s="785"/>
      <c r="H46" s="785"/>
      <c r="I46" s="785"/>
      <c r="J46" s="785"/>
      <c r="K46" s="785"/>
      <c r="L46" s="785"/>
      <c r="M46" s="785"/>
      <c r="N46" s="785"/>
      <c r="O46" s="785"/>
      <c r="P46" s="785"/>
      <c r="Q46" s="785"/>
      <c r="R46" s="785"/>
      <c r="S46" s="785"/>
      <c r="T46" s="785"/>
      <c r="U46" s="785"/>
      <c r="V46" s="785"/>
      <c r="W46" s="786"/>
      <c r="AA46" s="74"/>
    </row>
    <row r="47" spans="1:27" ht="14.25" customHeight="1">
      <c r="A47" s="1683"/>
      <c r="B47" s="1684"/>
      <c r="C47" s="1684"/>
      <c r="D47" s="1684"/>
      <c r="E47" s="1684"/>
      <c r="F47" s="1684"/>
      <c r="G47" s="1684"/>
      <c r="H47" s="1684"/>
      <c r="I47" s="1684"/>
      <c r="J47" s="1684"/>
      <c r="K47" s="1684"/>
      <c r="L47" s="1684"/>
      <c r="M47" s="1684"/>
      <c r="N47" s="1684"/>
      <c r="O47" s="1684"/>
      <c r="P47" s="1684"/>
      <c r="Q47" s="1684"/>
      <c r="R47" s="1684"/>
      <c r="S47" s="1684"/>
      <c r="T47" s="1684"/>
      <c r="U47" s="1684"/>
      <c r="V47" s="1684"/>
      <c r="W47" s="1685"/>
      <c r="AA47" s="74"/>
    </row>
    <row r="48" spans="1:27">
      <c r="A48" s="1686"/>
      <c r="B48" s="1687"/>
      <c r="C48" s="1687"/>
      <c r="D48" s="1687"/>
      <c r="E48" s="1687"/>
      <c r="F48" s="1687"/>
      <c r="G48" s="1687"/>
      <c r="H48" s="1687"/>
      <c r="I48" s="1687"/>
      <c r="J48" s="1687"/>
      <c r="K48" s="1687"/>
      <c r="L48" s="1687"/>
      <c r="M48" s="1687"/>
      <c r="N48" s="1687"/>
      <c r="O48" s="1687"/>
      <c r="P48" s="1687"/>
      <c r="Q48" s="1687"/>
      <c r="R48" s="1687"/>
      <c r="S48" s="1687"/>
      <c r="T48" s="1687"/>
      <c r="U48" s="1687"/>
      <c r="V48" s="1687"/>
      <c r="W48" s="1688"/>
      <c r="AA48" s="74"/>
    </row>
    <row r="49" spans="1:27">
      <c r="A49" s="1686"/>
      <c r="B49" s="1687"/>
      <c r="C49" s="1687"/>
      <c r="D49" s="1687"/>
      <c r="E49" s="1687"/>
      <c r="F49" s="1687"/>
      <c r="G49" s="1687"/>
      <c r="H49" s="1687"/>
      <c r="I49" s="1687"/>
      <c r="J49" s="1687"/>
      <c r="K49" s="1687"/>
      <c r="L49" s="1687"/>
      <c r="M49" s="1687"/>
      <c r="N49" s="1687"/>
      <c r="O49" s="1687"/>
      <c r="P49" s="1687"/>
      <c r="Q49" s="1687"/>
      <c r="R49" s="1687"/>
      <c r="S49" s="1687"/>
      <c r="T49" s="1687"/>
      <c r="U49" s="1687"/>
      <c r="V49" s="1687"/>
      <c r="W49" s="1688"/>
      <c r="AA49" s="74"/>
    </row>
    <row r="50" spans="1:27">
      <c r="A50" s="1686"/>
      <c r="B50" s="1687"/>
      <c r="C50" s="1687"/>
      <c r="D50" s="1687"/>
      <c r="E50" s="1687"/>
      <c r="F50" s="1687"/>
      <c r="G50" s="1687"/>
      <c r="H50" s="1687"/>
      <c r="I50" s="1687"/>
      <c r="J50" s="1687"/>
      <c r="K50" s="1687"/>
      <c r="L50" s="1687"/>
      <c r="M50" s="1687"/>
      <c r="N50" s="1687"/>
      <c r="O50" s="1687"/>
      <c r="P50" s="1687"/>
      <c r="Q50" s="1687"/>
      <c r="R50" s="1687"/>
      <c r="S50" s="1687"/>
      <c r="T50" s="1687"/>
      <c r="U50" s="1687"/>
      <c r="V50" s="1687"/>
      <c r="W50" s="1688"/>
      <c r="AA50" s="74"/>
    </row>
    <row r="51" spans="1:27">
      <c r="A51" s="1686"/>
      <c r="B51" s="1687"/>
      <c r="C51" s="1687"/>
      <c r="D51" s="1687"/>
      <c r="E51" s="1687"/>
      <c r="F51" s="1687"/>
      <c r="G51" s="1687"/>
      <c r="H51" s="1687"/>
      <c r="I51" s="1687"/>
      <c r="J51" s="1687"/>
      <c r="K51" s="1687"/>
      <c r="L51" s="1687"/>
      <c r="M51" s="1687"/>
      <c r="N51" s="1687"/>
      <c r="O51" s="1687"/>
      <c r="P51" s="1687"/>
      <c r="Q51" s="1687"/>
      <c r="R51" s="1687"/>
      <c r="S51" s="1687"/>
      <c r="T51" s="1687"/>
      <c r="U51" s="1687"/>
      <c r="V51" s="1687"/>
      <c r="W51" s="1688"/>
      <c r="AA51" s="74"/>
    </row>
    <row r="52" spans="1:27">
      <c r="A52" s="1686"/>
      <c r="B52" s="1687"/>
      <c r="C52" s="1687"/>
      <c r="D52" s="1687"/>
      <c r="E52" s="1687"/>
      <c r="F52" s="1687"/>
      <c r="G52" s="1687"/>
      <c r="H52" s="1687"/>
      <c r="I52" s="1687"/>
      <c r="J52" s="1687"/>
      <c r="K52" s="1687"/>
      <c r="L52" s="1687"/>
      <c r="M52" s="1687"/>
      <c r="N52" s="1687"/>
      <c r="O52" s="1687"/>
      <c r="P52" s="1687"/>
      <c r="Q52" s="1687"/>
      <c r="R52" s="1687"/>
      <c r="S52" s="1687"/>
      <c r="T52" s="1687"/>
      <c r="U52" s="1687"/>
      <c r="V52" s="1687"/>
      <c r="W52" s="1688"/>
      <c r="AA52" s="74"/>
    </row>
    <row r="53" spans="1:27">
      <c r="A53" s="1686"/>
      <c r="B53" s="1687"/>
      <c r="C53" s="1687"/>
      <c r="D53" s="1687"/>
      <c r="E53" s="1687"/>
      <c r="F53" s="1687"/>
      <c r="G53" s="1687"/>
      <c r="H53" s="1687"/>
      <c r="I53" s="1687"/>
      <c r="J53" s="1687"/>
      <c r="K53" s="1687"/>
      <c r="L53" s="1687"/>
      <c r="M53" s="1687"/>
      <c r="N53" s="1687"/>
      <c r="O53" s="1687"/>
      <c r="P53" s="1687"/>
      <c r="Q53" s="1687"/>
      <c r="R53" s="1687"/>
      <c r="S53" s="1687"/>
      <c r="T53" s="1687"/>
      <c r="U53" s="1687"/>
      <c r="V53" s="1687"/>
      <c r="W53" s="1688"/>
      <c r="AA53" s="74"/>
    </row>
    <row r="54" spans="1:27">
      <c r="A54" s="1686"/>
      <c r="B54" s="1687"/>
      <c r="C54" s="1687"/>
      <c r="D54" s="1687"/>
      <c r="E54" s="1687"/>
      <c r="F54" s="1687"/>
      <c r="G54" s="1687"/>
      <c r="H54" s="1687"/>
      <c r="I54" s="1687"/>
      <c r="J54" s="1687"/>
      <c r="K54" s="1687"/>
      <c r="L54" s="1687"/>
      <c r="M54" s="1687"/>
      <c r="N54" s="1687"/>
      <c r="O54" s="1687"/>
      <c r="P54" s="1687"/>
      <c r="Q54" s="1687"/>
      <c r="R54" s="1687"/>
      <c r="S54" s="1687"/>
      <c r="T54" s="1687"/>
      <c r="U54" s="1687"/>
      <c r="V54" s="1687"/>
      <c r="W54" s="1688"/>
      <c r="AA54" s="74"/>
    </row>
    <row r="55" spans="1:27">
      <c r="A55" s="1686"/>
      <c r="B55" s="1687"/>
      <c r="C55" s="1687"/>
      <c r="D55" s="1687"/>
      <c r="E55" s="1687"/>
      <c r="F55" s="1687"/>
      <c r="G55" s="1687"/>
      <c r="H55" s="1687"/>
      <c r="I55" s="1687"/>
      <c r="J55" s="1687"/>
      <c r="K55" s="1687"/>
      <c r="L55" s="1687"/>
      <c r="M55" s="1687"/>
      <c r="N55" s="1687"/>
      <c r="O55" s="1687"/>
      <c r="P55" s="1687"/>
      <c r="Q55" s="1687"/>
      <c r="R55" s="1687"/>
      <c r="S55" s="1687"/>
      <c r="T55" s="1687"/>
      <c r="U55" s="1687"/>
      <c r="V55" s="1687"/>
      <c r="W55" s="1688"/>
      <c r="AA55" s="74"/>
    </row>
    <row r="56" spans="1:27">
      <c r="A56" s="1686"/>
      <c r="B56" s="1687"/>
      <c r="C56" s="1687"/>
      <c r="D56" s="1687"/>
      <c r="E56" s="1687"/>
      <c r="F56" s="1687"/>
      <c r="G56" s="1687"/>
      <c r="H56" s="1687"/>
      <c r="I56" s="1687"/>
      <c r="J56" s="1687"/>
      <c r="K56" s="1687"/>
      <c r="L56" s="1687"/>
      <c r="M56" s="1687"/>
      <c r="N56" s="1687"/>
      <c r="O56" s="1687"/>
      <c r="P56" s="1687"/>
      <c r="Q56" s="1687"/>
      <c r="R56" s="1687"/>
      <c r="S56" s="1687"/>
      <c r="T56" s="1687"/>
      <c r="U56" s="1687"/>
      <c r="V56" s="1687"/>
      <c r="W56" s="1688"/>
      <c r="AA56" s="74"/>
    </row>
    <row r="57" spans="1:27">
      <c r="A57" s="1686"/>
      <c r="B57" s="1687"/>
      <c r="C57" s="1687"/>
      <c r="D57" s="1687"/>
      <c r="E57" s="1687"/>
      <c r="F57" s="1687"/>
      <c r="G57" s="1687"/>
      <c r="H57" s="1687"/>
      <c r="I57" s="1687"/>
      <c r="J57" s="1687"/>
      <c r="K57" s="1687"/>
      <c r="L57" s="1687"/>
      <c r="M57" s="1687"/>
      <c r="N57" s="1687"/>
      <c r="O57" s="1687"/>
      <c r="P57" s="1687"/>
      <c r="Q57" s="1687"/>
      <c r="R57" s="1687"/>
      <c r="S57" s="1687"/>
      <c r="T57" s="1687"/>
      <c r="U57" s="1687"/>
      <c r="V57" s="1687"/>
      <c r="W57" s="1688"/>
      <c r="AA57" s="74"/>
    </row>
    <row r="58" spans="1:27">
      <c r="A58" s="1686"/>
      <c r="B58" s="1687"/>
      <c r="C58" s="1687"/>
      <c r="D58" s="1687"/>
      <c r="E58" s="1687"/>
      <c r="F58" s="1687"/>
      <c r="G58" s="1687"/>
      <c r="H58" s="1687"/>
      <c r="I58" s="1687"/>
      <c r="J58" s="1687"/>
      <c r="K58" s="1687"/>
      <c r="L58" s="1687"/>
      <c r="M58" s="1687"/>
      <c r="N58" s="1687"/>
      <c r="O58" s="1687"/>
      <c r="P58" s="1687"/>
      <c r="Q58" s="1687"/>
      <c r="R58" s="1687"/>
      <c r="S58" s="1687"/>
      <c r="T58" s="1687"/>
      <c r="U58" s="1687"/>
      <c r="V58" s="1687"/>
      <c r="W58" s="1688"/>
      <c r="AA58" s="74"/>
    </row>
    <row r="59" spans="1:27">
      <c r="A59" s="1686"/>
      <c r="B59" s="1687"/>
      <c r="C59" s="1687"/>
      <c r="D59" s="1687"/>
      <c r="E59" s="1687"/>
      <c r="F59" s="1687"/>
      <c r="G59" s="1687"/>
      <c r="H59" s="1687"/>
      <c r="I59" s="1687"/>
      <c r="J59" s="1687"/>
      <c r="K59" s="1687"/>
      <c r="L59" s="1687"/>
      <c r="M59" s="1687"/>
      <c r="N59" s="1687"/>
      <c r="O59" s="1687"/>
      <c r="P59" s="1687"/>
      <c r="Q59" s="1687"/>
      <c r="R59" s="1687"/>
      <c r="S59" s="1687"/>
      <c r="T59" s="1687"/>
      <c r="U59" s="1687"/>
      <c r="V59" s="1687"/>
      <c r="W59" s="1688"/>
      <c r="AA59" s="74"/>
    </row>
    <row r="60" spans="1:27">
      <c r="A60" s="1686"/>
      <c r="B60" s="1687"/>
      <c r="C60" s="1687"/>
      <c r="D60" s="1687"/>
      <c r="E60" s="1687"/>
      <c r="F60" s="1687"/>
      <c r="G60" s="1687"/>
      <c r="H60" s="1687"/>
      <c r="I60" s="1687"/>
      <c r="J60" s="1687"/>
      <c r="K60" s="1687"/>
      <c r="L60" s="1687"/>
      <c r="M60" s="1687"/>
      <c r="N60" s="1687"/>
      <c r="O60" s="1687"/>
      <c r="P60" s="1687"/>
      <c r="Q60" s="1687"/>
      <c r="R60" s="1687"/>
      <c r="S60" s="1687"/>
      <c r="T60" s="1687"/>
      <c r="U60" s="1687"/>
      <c r="V60" s="1687"/>
      <c r="W60" s="1688"/>
      <c r="AA60" s="74"/>
    </row>
    <row r="61" spans="1:27">
      <c r="A61" s="1686"/>
      <c r="B61" s="1687"/>
      <c r="C61" s="1687"/>
      <c r="D61" s="1687"/>
      <c r="E61" s="1687"/>
      <c r="F61" s="1687"/>
      <c r="G61" s="1687"/>
      <c r="H61" s="1687"/>
      <c r="I61" s="1687"/>
      <c r="J61" s="1687"/>
      <c r="K61" s="1687"/>
      <c r="L61" s="1687"/>
      <c r="M61" s="1687"/>
      <c r="N61" s="1687"/>
      <c r="O61" s="1687"/>
      <c r="P61" s="1687"/>
      <c r="Q61" s="1687"/>
      <c r="R61" s="1687"/>
      <c r="S61" s="1687"/>
      <c r="T61" s="1687"/>
      <c r="U61" s="1687"/>
      <c r="V61" s="1687"/>
      <c r="W61" s="1688"/>
      <c r="AA61" s="74"/>
    </row>
    <row r="62" spans="1:27" ht="12.75" thickBot="1">
      <c r="A62" s="1689"/>
      <c r="B62" s="1690"/>
      <c r="C62" s="1690"/>
      <c r="D62" s="1690"/>
      <c r="E62" s="1690"/>
      <c r="F62" s="1690"/>
      <c r="G62" s="1690"/>
      <c r="H62" s="1690"/>
      <c r="I62" s="1690"/>
      <c r="J62" s="1690"/>
      <c r="K62" s="1690"/>
      <c r="L62" s="1690"/>
      <c r="M62" s="1690"/>
      <c r="N62" s="1690"/>
      <c r="O62" s="1690"/>
      <c r="P62" s="1690"/>
      <c r="Q62" s="1690"/>
      <c r="R62" s="1690"/>
      <c r="S62" s="1690"/>
      <c r="T62" s="1690"/>
      <c r="U62" s="1690"/>
      <c r="V62" s="1690"/>
      <c r="W62" s="1691"/>
      <c r="AA62" s="151"/>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9"/>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topLeftCell="A7" zoomScale="115" zoomScaleNormal="100" zoomScaleSheetLayoutView="115" workbookViewId="0">
      <selection activeCell="E15" sqref="E15"/>
    </sheetView>
  </sheetViews>
  <sheetFormatPr defaultColWidth="8.875" defaultRowHeight="13.5"/>
  <cols>
    <col min="1" max="1" width="3.625" style="426" customWidth="1"/>
    <col min="2" max="2" width="12.625" style="426" customWidth="1"/>
    <col min="3" max="4" width="8.625" style="426" customWidth="1"/>
    <col min="5" max="5" width="6.625" style="426" customWidth="1"/>
    <col min="6" max="6" width="17.625" style="426" customWidth="1"/>
    <col min="7" max="7" width="34.625" style="426" customWidth="1"/>
    <col min="8" max="8" width="2.625" style="426" customWidth="1"/>
    <col min="9" max="9" width="2.625" style="426" hidden="1" customWidth="1"/>
    <col min="10" max="10" width="2.25" style="426" customWidth="1"/>
    <col min="11" max="11" width="80.625" style="332" customWidth="1"/>
    <col min="12" max="16384" width="8.875" style="426"/>
  </cols>
  <sheetData>
    <row r="1" spans="1:11" ht="19.5" customHeight="1" thickBot="1">
      <c r="A1" s="1322" t="s">
        <v>1165</v>
      </c>
      <c r="B1" s="1728"/>
      <c r="C1" s="1728"/>
      <c r="D1" s="1728"/>
      <c r="E1" s="1728"/>
      <c r="F1" s="1728"/>
      <c r="G1" s="1728"/>
      <c r="J1" s="53"/>
    </row>
    <row r="2" spans="1:11" ht="35.1" customHeight="1" thickBot="1">
      <c r="A2" s="1324" t="s">
        <v>865</v>
      </c>
      <c r="B2" s="1324"/>
      <c r="C2" s="1324"/>
      <c r="D2" s="1324"/>
      <c r="E2" s="1324"/>
      <c r="F2" s="1343"/>
      <c r="G2" s="757" t="str">
        <f>IF(COUNTIF(I12,"×")&gt;=1,"未入力あり","入力済")</f>
        <v>入力済</v>
      </c>
      <c r="H2" s="1672"/>
      <c r="I2" s="745"/>
      <c r="J2" s="53"/>
    </row>
    <row r="3" spans="1:11" ht="5.0999999999999996" customHeight="1">
      <c r="A3" s="450"/>
      <c r="B3" s="450"/>
      <c r="C3" s="450"/>
      <c r="D3" s="450"/>
      <c r="E3" s="450"/>
      <c r="F3" s="450"/>
      <c r="G3" s="450"/>
      <c r="H3" s="1672"/>
      <c r="I3" s="745"/>
      <c r="J3" s="8"/>
    </row>
    <row r="4" spans="1:11" ht="20.100000000000001" customHeight="1">
      <c r="A4" s="450"/>
      <c r="B4" s="450"/>
      <c r="C4" s="450" t="s">
        <v>1166</v>
      </c>
      <c r="D4" s="450"/>
      <c r="E4" s="450"/>
      <c r="F4" s="759" t="s">
        <v>757</v>
      </c>
      <c r="G4" s="787" t="str">
        <f>表紙!E2</f>
        <v>パナソニック健康保険組合　松下記念病院</v>
      </c>
      <c r="H4" s="1672"/>
      <c r="I4" s="745"/>
      <c r="J4" s="53"/>
    </row>
    <row r="5" spans="1:11" ht="20.100000000000001" customHeight="1">
      <c r="F5" s="1139" t="s">
        <v>911</v>
      </c>
      <c r="G5" s="1" t="str">
        <f>別紙1未充足要件!E5</f>
        <v>令和６年９月１日時点</v>
      </c>
      <c r="K5" s="177" t="s">
        <v>234</v>
      </c>
    </row>
    <row r="6" spans="1:11" ht="20.100000000000001" customHeight="1">
      <c r="A6" s="1732" t="s">
        <v>1167</v>
      </c>
      <c r="B6" s="1732"/>
      <c r="C6" s="1732"/>
      <c r="D6" s="1732"/>
      <c r="E6" s="1732"/>
      <c r="F6" s="1732"/>
      <c r="G6" s="1732"/>
      <c r="K6" s="74"/>
    </row>
    <row r="7" spans="1:11" ht="65.25" customHeight="1">
      <c r="A7" s="1733" t="s">
        <v>1168</v>
      </c>
      <c r="B7" s="1734"/>
      <c r="C7" s="1734"/>
      <c r="D7" s="1734"/>
      <c r="E7" s="1734"/>
      <c r="F7" s="1734"/>
      <c r="G7" s="1734"/>
      <c r="K7" s="74"/>
    </row>
    <row r="8" spans="1:11" ht="27.95" customHeight="1">
      <c r="A8" s="1729"/>
      <c r="B8" s="1730" t="s">
        <v>1169</v>
      </c>
      <c r="C8" s="1731" t="s">
        <v>1170</v>
      </c>
      <c r="D8" s="1731" t="s">
        <v>1171</v>
      </c>
      <c r="E8" s="1727" t="s">
        <v>1172</v>
      </c>
      <c r="F8" s="1727" t="s">
        <v>1173</v>
      </c>
      <c r="G8" s="433" t="s">
        <v>1174</v>
      </c>
      <c r="K8" s="74"/>
    </row>
    <row r="9" spans="1:11" ht="18" customHeight="1">
      <c r="A9" s="1729"/>
      <c r="B9" s="1730"/>
      <c r="C9" s="1731"/>
      <c r="D9" s="1731"/>
      <c r="E9" s="1727"/>
      <c r="F9" s="1727"/>
      <c r="G9" s="788" t="s">
        <v>1175</v>
      </c>
      <c r="K9" s="74"/>
    </row>
    <row r="10" spans="1:11" ht="18" customHeight="1">
      <c r="A10" s="789" t="s">
        <v>1048</v>
      </c>
      <c r="B10" s="790" t="s">
        <v>1176</v>
      </c>
      <c r="C10" s="791">
        <v>4</v>
      </c>
      <c r="D10" s="791">
        <v>2</v>
      </c>
      <c r="E10" s="792" t="s">
        <v>296</v>
      </c>
      <c r="F10" s="792" t="s">
        <v>1177</v>
      </c>
      <c r="G10" s="793" t="s">
        <v>1178</v>
      </c>
      <c r="K10" s="74"/>
    </row>
    <row r="11" spans="1:11" ht="18" customHeight="1" thickBot="1">
      <c r="A11" s="789" t="s">
        <v>1048</v>
      </c>
      <c r="B11" s="794" t="s">
        <v>1179</v>
      </c>
      <c r="C11" s="795">
        <v>1</v>
      </c>
      <c r="D11" s="795">
        <v>1</v>
      </c>
      <c r="E11" s="796" t="s">
        <v>1180</v>
      </c>
      <c r="F11" s="796" t="s">
        <v>1181</v>
      </c>
      <c r="G11" s="797" t="s">
        <v>1182</v>
      </c>
      <c r="K11" s="74"/>
    </row>
    <row r="12" spans="1:11" ht="36" customHeight="1" thickBot="1">
      <c r="A12" s="798">
        <v>1</v>
      </c>
      <c r="B12" s="45" t="s">
        <v>1179</v>
      </c>
      <c r="C12" s="46">
        <v>14</v>
      </c>
      <c r="D12" s="46">
        <v>10</v>
      </c>
      <c r="E12" s="45" t="s">
        <v>1884</v>
      </c>
      <c r="F12" s="45" t="s">
        <v>1918</v>
      </c>
      <c r="G12" s="44" t="s">
        <v>1919</v>
      </c>
      <c r="H12" s="799"/>
      <c r="I12" s="591" t="str">
        <f>IF(AND(B12&lt;&gt;"",C12&lt;&gt;"",D12&lt;&gt;"",E12&lt;&gt;"",F12&lt;&gt;"",G12&lt;&gt;""),"○","×")</f>
        <v>○</v>
      </c>
      <c r="K12" s="74"/>
    </row>
    <row r="13" spans="1:11" ht="36" customHeight="1" thickBot="1">
      <c r="A13" s="798">
        <v>2</v>
      </c>
      <c r="B13" s="45" t="s">
        <v>1179</v>
      </c>
      <c r="C13" s="46">
        <v>8</v>
      </c>
      <c r="D13" s="46">
        <v>3</v>
      </c>
      <c r="E13" s="45" t="s">
        <v>1884</v>
      </c>
      <c r="F13" s="45" t="s">
        <v>1920</v>
      </c>
      <c r="G13" s="44" t="s">
        <v>1919</v>
      </c>
      <c r="K13" s="74"/>
    </row>
    <row r="14" spans="1:11" ht="36" customHeight="1" thickBot="1">
      <c r="A14" s="798">
        <v>3</v>
      </c>
      <c r="B14" s="45"/>
      <c r="C14" s="46"/>
      <c r="D14" s="46"/>
      <c r="E14" s="45"/>
      <c r="F14" s="45"/>
      <c r="G14" s="44"/>
      <c r="K14" s="74"/>
    </row>
    <row r="15" spans="1:11" ht="36" customHeight="1" thickBot="1">
      <c r="A15" s="798">
        <v>4</v>
      </c>
      <c r="B15" s="45"/>
      <c r="C15" s="46"/>
      <c r="D15" s="46"/>
      <c r="E15" s="45"/>
      <c r="F15" s="45"/>
      <c r="G15" s="44"/>
      <c r="K15" s="74"/>
    </row>
    <row r="16" spans="1:11" ht="36" customHeight="1" thickBot="1">
      <c r="A16" s="798">
        <v>5</v>
      </c>
      <c r="B16" s="45"/>
      <c r="C16" s="46"/>
      <c r="D16" s="46"/>
      <c r="E16" s="45"/>
      <c r="F16" s="45"/>
      <c r="G16" s="44"/>
      <c r="K16" s="74"/>
    </row>
    <row r="17" spans="1:11" ht="36" customHeight="1" thickBot="1">
      <c r="A17" s="798">
        <v>6</v>
      </c>
      <c r="B17" s="45"/>
      <c r="C17" s="46"/>
      <c r="D17" s="46"/>
      <c r="E17" s="45"/>
      <c r="F17" s="45"/>
      <c r="G17" s="44"/>
      <c r="K17" s="74"/>
    </row>
    <row r="18" spans="1:11" ht="36" customHeight="1" thickBot="1">
      <c r="A18" s="798">
        <v>7</v>
      </c>
      <c r="B18" s="45"/>
      <c r="C18" s="46"/>
      <c r="D18" s="46"/>
      <c r="E18" s="45"/>
      <c r="F18" s="45"/>
      <c r="G18" s="44"/>
      <c r="K18" s="74"/>
    </row>
    <row r="19" spans="1:11" ht="36" customHeight="1" thickBot="1">
      <c r="A19" s="798">
        <v>8</v>
      </c>
      <c r="B19" s="45"/>
      <c r="C19" s="46"/>
      <c r="D19" s="46"/>
      <c r="E19" s="45"/>
      <c r="F19" s="45"/>
      <c r="G19" s="44"/>
      <c r="K19" s="74"/>
    </row>
    <row r="20" spans="1:11" ht="36" customHeight="1" thickBot="1">
      <c r="A20" s="798">
        <v>9</v>
      </c>
      <c r="B20" s="45"/>
      <c r="C20" s="46"/>
      <c r="D20" s="46"/>
      <c r="E20" s="45"/>
      <c r="F20" s="45"/>
      <c r="G20" s="44"/>
      <c r="K20" s="74"/>
    </row>
    <row r="21" spans="1:11" ht="36" customHeight="1" thickBot="1">
      <c r="A21" s="798">
        <v>10</v>
      </c>
      <c r="B21" s="45"/>
      <c r="C21" s="46"/>
      <c r="D21" s="46"/>
      <c r="E21" s="45"/>
      <c r="F21" s="45"/>
      <c r="G21" s="44"/>
      <c r="K21" s="74"/>
    </row>
    <row r="22" spans="1:11" ht="36" customHeight="1" thickBot="1">
      <c r="A22" s="798">
        <v>11</v>
      </c>
      <c r="B22" s="45"/>
      <c r="C22" s="46"/>
      <c r="D22" s="46"/>
      <c r="E22" s="45"/>
      <c r="F22" s="45"/>
      <c r="G22" s="44"/>
      <c r="K22" s="74"/>
    </row>
    <row r="23" spans="1:11" ht="36" customHeight="1" thickBot="1">
      <c r="A23" s="798">
        <v>12</v>
      </c>
      <c r="B23" s="45"/>
      <c r="C23" s="46"/>
      <c r="D23" s="46"/>
      <c r="E23" s="45"/>
      <c r="F23" s="45"/>
      <c r="G23" s="44"/>
      <c r="K23" s="74"/>
    </row>
    <row r="24" spans="1:11" ht="36" customHeight="1" thickBot="1">
      <c r="A24" s="798">
        <v>13</v>
      </c>
      <c r="B24" s="45"/>
      <c r="C24" s="46"/>
      <c r="D24" s="46"/>
      <c r="E24" s="45"/>
      <c r="F24" s="45"/>
      <c r="G24" s="44"/>
      <c r="K24" s="74"/>
    </row>
    <row r="25" spans="1:11" ht="36" customHeight="1" thickBot="1">
      <c r="A25" s="798">
        <v>14</v>
      </c>
      <c r="B25" s="45"/>
      <c r="C25" s="46"/>
      <c r="D25" s="46"/>
      <c r="E25" s="45"/>
      <c r="F25" s="45"/>
      <c r="G25" s="44"/>
      <c r="K25" s="74"/>
    </row>
    <row r="26" spans="1:11" ht="36" customHeight="1" thickBot="1">
      <c r="A26" s="798">
        <v>15</v>
      </c>
      <c r="B26" s="45"/>
      <c r="C26" s="46"/>
      <c r="D26" s="46"/>
      <c r="E26" s="45"/>
      <c r="F26" s="45"/>
      <c r="G26" s="44"/>
      <c r="K26" s="151"/>
    </row>
    <row r="27" spans="1:11">
      <c r="H27" s="800" t="s">
        <v>935</v>
      </c>
      <c r="I27" s="800"/>
      <c r="J27" s="800"/>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9"/>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topLeftCell="A19" zoomScaleNormal="100" zoomScaleSheetLayoutView="100" workbookViewId="0">
      <selection activeCell="AA10" sqref="AA10"/>
    </sheetView>
  </sheetViews>
  <sheetFormatPr defaultColWidth="9" defaultRowHeight="12"/>
  <cols>
    <col min="1" max="1" width="4.125" style="477" customWidth="1"/>
    <col min="2" max="2" width="15.625" style="477" customWidth="1"/>
    <col min="3" max="3" width="7.625" style="477" customWidth="1"/>
    <col min="4" max="4" width="25.625" style="477" customWidth="1"/>
    <col min="5" max="13" width="2.625" style="477" customWidth="1"/>
    <col min="14" max="14" width="1.625" style="477" customWidth="1"/>
    <col min="15" max="22" width="2.625" style="477" customWidth="1"/>
    <col min="23" max="23" width="4.625" style="477" customWidth="1"/>
    <col min="24" max="24" width="2.625" style="477" customWidth="1"/>
    <col min="25" max="25" width="6" style="477" hidden="1" customWidth="1"/>
    <col min="26" max="26" width="2.25" style="51" customWidth="1"/>
    <col min="27" max="27" width="80.625" style="106" customWidth="1"/>
    <col min="28" max="16384" width="9" style="477"/>
  </cols>
  <sheetData>
    <row r="1" spans="1:29" ht="20.25" customHeight="1" thickBot="1">
      <c r="A1" s="1342" t="s">
        <v>1183</v>
      </c>
      <c r="B1" s="1342"/>
      <c r="C1" s="1342"/>
      <c r="D1" s="1342"/>
      <c r="E1" s="1342"/>
      <c r="F1" s="1342"/>
      <c r="G1" s="1342"/>
      <c r="H1" s="1342"/>
      <c r="I1" s="1342"/>
      <c r="J1" s="1342"/>
      <c r="K1" s="1342"/>
      <c r="L1" s="1342"/>
      <c r="M1" s="1342"/>
      <c r="N1" s="1342"/>
      <c r="O1" s="1342"/>
      <c r="P1" s="1342"/>
      <c r="Q1" s="1342"/>
      <c r="R1" s="1342"/>
      <c r="S1" s="1342"/>
      <c r="T1" s="1342"/>
      <c r="U1" s="1342"/>
      <c r="V1" s="1342"/>
      <c r="W1" s="1342"/>
      <c r="Y1" s="53"/>
      <c r="Z1" s="83"/>
    </row>
    <row r="2" spans="1:29" ht="24.95" customHeight="1" thickBot="1">
      <c r="A2" s="1762" t="s">
        <v>865</v>
      </c>
      <c r="B2" s="1762"/>
      <c r="C2" s="1762"/>
      <c r="D2" s="1762"/>
      <c r="E2" s="1762"/>
      <c r="F2" s="1762"/>
      <c r="G2" s="1762"/>
      <c r="H2" s="1762"/>
      <c r="I2" s="1762"/>
      <c r="J2" s="1762"/>
      <c r="K2" s="1762"/>
      <c r="L2" s="1762"/>
      <c r="M2" s="1762"/>
      <c r="N2" s="1762"/>
      <c r="O2" s="1762"/>
      <c r="P2" s="1762"/>
      <c r="Q2" s="1762"/>
      <c r="R2" s="1762"/>
      <c r="S2" s="1763"/>
      <c r="T2" s="1759" t="str">
        <f>IF(COUNTIF(Y7:Y35,"×")&gt;=1,"未入力あり","入力済")</f>
        <v>入力済</v>
      </c>
      <c r="U2" s="1760"/>
      <c r="V2" s="1760"/>
      <c r="W2" s="1761"/>
      <c r="X2" s="1672"/>
      <c r="Y2" s="53"/>
      <c r="Z2" s="83"/>
    </row>
    <row r="3" spans="1:29" ht="5.0999999999999996" customHeight="1">
      <c r="A3" s="473"/>
      <c r="B3" s="473"/>
      <c r="C3" s="473"/>
      <c r="D3" s="473"/>
      <c r="E3" s="473"/>
      <c r="F3" s="473"/>
      <c r="G3" s="473"/>
      <c r="H3" s="473"/>
      <c r="I3" s="473"/>
      <c r="J3" s="473"/>
      <c r="K3" s="473"/>
      <c r="L3" s="473"/>
      <c r="M3" s="473"/>
      <c r="N3" s="473"/>
      <c r="O3" s="473"/>
      <c r="P3" s="473"/>
      <c r="Q3" s="473"/>
      <c r="R3" s="473"/>
      <c r="S3" s="473"/>
      <c r="T3" s="473"/>
      <c r="U3" s="473"/>
      <c r="V3" s="473"/>
      <c r="W3" s="473"/>
      <c r="X3" s="1672"/>
    </row>
    <row r="4" spans="1:29" ht="20.100000000000001" customHeight="1">
      <c r="A4" s="473"/>
      <c r="B4" s="473"/>
      <c r="C4" s="473"/>
      <c r="D4" s="801" t="s">
        <v>757</v>
      </c>
      <c r="E4" s="1756" t="str">
        <f>表紙!E2</f>
        <v>パナソニック健康保険組合　松下記念病院</v>
      </c>
      <c r="F4" s="1757"/>
      <c r="G4" s="1757"/>
      <c r="H4" s="1757"/>
      <c r="I4" s="1757"/>
      <c r="J4" s="1757"/>
      <c r="K4" s="1757"/>
      <c r="L4" s="1757"/>
      <c r="M4" s="1757"/>
      <c r="N4" s="1757"/>
      <c r="O4" s="1757"/>
      <c r="P4" s="1757"/>
      <c r="Q4" s="1757"/>
      <c r="R4" s="1757"/>
      <c r="S4" s="1757"/>
      <c r="T4" s="1757"/>
      <c r="U4" s="1757"/>
      <c r="V4" s="1757"/>
      <c r="W4" s="1758"/>
      <c r="X4" s="1672"/>
      <c r="Y4" s="479"/>
      <c r="Z4" s="106"/>
      <c r="AA4" s="177" t="s">
        <v>234</v>
      </c>
    </row>
    <row r="5" spans="1:29" customFormat="1" ht="20.100000000000001" customHeight="1">
      <c r="A5" s="802" t="s">
        <v>1135</v>
      </c>
      <c r="B5" s="51" t="s">
        <v>1184</v>
      </c>
      <c r="C5" s="51"/>
      <c r="D5" s="51"/>
      <c r="E5" s="673"/>
      <c r="F5" s="651"/>
      <c r="G5" s="651"/>
      <c r="H5" s="651"/>
      <c r="I5" s="651"/>
      <c r="J5" s="651"/>
      <c r="K5" s="651"/>
      <c r="L5" s="651"/>
      <c r="M5" s="651"/>
      <c r="N5" s="651"/>
      <c r="O5" s="651"/>
      <c r="P5" s="651"/>
      <c r="Q5" s="651"/>
      <c r="R5" s="651"/>
      <c r="S5" s="651"/>
      <c r="T5" s="651"/>
      <c r="U5" s="651"/>
      <c r="V5" s="651"/>
      <c r="W5" s="803" t="str">
        <f>別紙1未充足要件!E5</f>
        <v>令和６年９月１日時点</v>
      </c>
      <c r="Z5" s="49"/>
      <c r="AA5" s="74"/>
    </row>
    <row r="6" spans="1:29" ht="22.15" customHeight="1" thickBot="1">
      <c r="A6" s="804" t="s">
        <v>1185</v>
      </c>
      <c r="B6" s="1770" t="s">
        <v>1186</v>
      </c>
      <c r="C6" s="1770"/>
      <c r="D6" s="1770"/>
      <c r="E6" s="1770"/>
      <c r="F6" s="1770"/>
      <c r="G6" s="1770"/>
      <c r="H6" s="1770"/>
      <c r="I6" s="1770"/>
      <c r="J6" s="1770"/>
      <c r="K6" s="1770"/>
      <c r="L6" s="1770"/>
      <c r="M6" s="1770"/>
      <c r="N6" s="1770"/>
      <c r="O6" s="1770"/>
      <c r="P6" s="1770"/>
      <c r="Q6" s="1770"/>
      <c r="R6" s="1770"/>
      <c r="S6" s="1770"/>
      <c r="T6" s="1770"/>
      <c r="U6" s="1770"/>
      <c r="V6" s="1770"/>
      <c r="W6" s="1770"/>
      <c r="Z6" s="805"/>
      <c r="AA6" s="161"/>
    </row>
    <row r="7" spans="1:29" ht="21" customHeight="1" thickBot="1">
      <c r="A7" s="1496">
        <v>1</v>
      </c>
      <c r="B7" s="1767" t="s">
        <v>1187</v>
      </c>
      <c r="C7" s="1768"/>
      <c r="D7" s="1768"/>
      <c r="E7" s="1768"/>
      <c r="F7" s="1768"/>
      <c r="G7" s="1768"/>
      <c r="H7" s="1768"/>
      <c r="I7" s="1768"/>
      <c r="J7" s="1768"/>
      <c r="K7" s="1768"/>
      <c r="L7" s="1769"/>
      <c r="M7" s="1445" t="s">
        <v>1921</v>
      </c>
      <c r="N7" s="1739"/>
      <c r="O7" s="1739"/>
      <c r="P7" s="1739"/>
      <c r="Q7" s="1739"/>
      <c r="R7" s="1739"/>
      <c r="S7" s="1739"/>
      <c r="T7" s="1739"/>
      <c r="U7" s="1739"/>
      <c r="V7" s="1739"/>
      <c r="W7" s="1740"/>
      <c r="X7" s="479"/>
      <c r="Y7" s="477" t="str">
        <f>IF(M7="","×","○")</f>
        <v>○</v>
      </c>
      <c r="Z7" s="805"/>
      <c r="AA7" s="161"/>
    </row>
    <row r="8" spans="1:29" ht="15" customHeight="1" thickBot="1">
      <c r="A8" s="1404"/>
      <c r="B8" s="806" t="s">
        <v>1188</v>
      </c>
      <c r="C8" s="807"/>
      <c r="D8" s="807"/>
      <c r="E8" s="807"/>
      <c r="F8" s="807"/>
      <c r="G8" s="807"/>
      <c r="H8" s="808"/>
      <c r="I8" s="808"/>
      <c r="J8" s="807"/>
      <c r="K8" s="807"/>
      <c r="L8" s="808"/>
      <c r="M8" s="479"/>
      <c r="N8" s="480"/>
      <c r="O8" s="480"/>
      <c r="P8" s="480"/>
      <c r="Q8" s="479"/>
      <c r="R8" s="479"/>
      <c r="S8" s="480"/>
      <c r="T8" s="480"/>
      <c r="U8" s="480"/>
      <c r="V8" s="480"/>
      <c r="W8" s="809"/>
      <c r="X8" s="479"/>
      <c r="Y8" s="479"/>
      <c r="Z8" s="805"/>
      <c r="AA8" s="161"/>
    </row>
    <row r="9" spans="1:29" ht="21" customHeight="1" thickBot="1">
      <c r="A9" s="1404"/>
      <c r="B9" s="810" t="s">
        <v>1189</v>
      </c>
      <c r="C9" s="811"/>
      <c r="D9" s="812"/>
      <c r="E9" s="1741" t="s">
        <v>1190</v>
      </c>
      <c r="F9" s="1741"/>
      <c r="G9" s="1742"/>
      <c r="H9" s="1743" t="s">
        <v>862</v>
      </c>
      <c r="I9" s="1744"/>
      <c r="J9" s="1745" t="s">
        <v>1191</v>
      </c>
      <c r="K9" s="1746"/>
      <c r="L9" s="1743" t="s">
        <v>862</v>
      </c>
      <c r="M9" s="1744"/>
      <c r="N9" s="1745" t="s">
        <v>1192</v>
      </c>
      <c r="O9" s="1747"/>
      <c r="P9" s="1746"/>
      <c r="Q9" s="1743" t="s">
        <v>862</v>
      </c>
      <c r="R9" s="1744"/>
      <c r="S9" s="1745" t="s">
        <v>1193</v>
      </c>
      <c r="T9" s="1747"/>
      <c r="U9" s="1747"/>
      <c r="V9" s="1746"/>
      <c r="W9" s="47"/>
      <c r="X9" s="479"/>
      <c r="Y9" s="479" t="str">
        <f>IF(AND(M7="臨床試験専用の窓口がある",AND(H9="",L9="",Q9="",W9="")),"×","○")</f>
        <v>○</v>
      </c>
      <c r="Z9" s="805"/>
      <c r="AA9" s="161"/>
    </row>
    <row r="10" spans="1:29" ht="21" customHeight="1" thickBot="1">
      <c r="A10" s="1404"/>
      <c r="B10" s="1501" t="s">
        <v>879</v>
      </c>
      <c r="C10" s="1501"/>
      <c r="D10" s="1502" t="s">
        <v>1922</v>
      </c>
      <c r="E10" s="1503"/>
      <c r="F10" s="1503"/>
      <c r="G10" s="1503"/>
      <c r="H10" s="1503"/>
      <c r="I10" s="1503"/>
      <c r="J10" s="1503"/>
      <c r="K10" s="1503"/>
      <c r="L10" s="1503"/>
      <c r="M10" s="1503"/>
      <c r="N10" s="1503"/>
      <c r="O10" s="1503"/>
      <c r="P10" s="1503"/>
      <c r="Q10" s="1503"/>
      <c r="R10" s="1503"/>
      <c r="S10" s="1503"/>
      <c r="T10" s="1503"/>
      <c r="U10" s="1503"/>
      <c r="V10" s="1503"/>
      <c r="W10" s="1504"/>
      <c r="X10" s="479"/>
      <c r="Y10" s="479" t="str">
        <f>IF(AND(H9="○",D10=""),"×","○")</f>
        <v>○</v>
      </c>
      <c r="Z10" s="805"/>
      <c r="AA10" s="161"/>
    </row>
    <row r="11" spans="1:29" ht="54" customHeight="1" thickBot="1">
      <c r="A11" s="1404"/>
      <c r="B11" s="1748" t="s">
        <v>1194</v>
      </c>
      <c r="C11" s="813" t="s">
        <v>875</v>
      </c>
      <c r="D11" s="1315" t="s">
        <v>1923</v>
      </c>
      <c r="E11" s="1387"/>
      <c r="F11" s="1387"/>
      <c r="G11" s="1387"/>
      <c r="H11" s="1387"/>
      <c r="I11" s="1387"/>
      <c r="J11" s="1387"/>
      <c r="K11" s="1387"/>
      <c r="L11" s="1387"/>
      <c r="M11" s="1387"/>
      <c r="N11" s="1387"/>
      <c r="O11" s="1387"/>
      <c r="P11" s="1387"/>
      <c r="Q11" s="1387"/>
      <c r="R11" s="1387"/>
      <c r="S11" s="1387"/>
      <c r="T11" s="1387"/>
      <c r="U11" s="1387"/>
      <c r="V11" s="1387"/>
      <c r="W11" s="1316"/>
      <c r="X11" s="479"/>
      <c r="Y11" s="479"/>
      <c r="Z11" s="805"/>
      <c r="AA11" s="161"/>
    </row>
    <row r="12" spans="1:29" ht="21" customHeight="1" thickBot="1">
      <c r="A12" s="1404"/>
      <c r="B12" s="1749"/>
      <c r="C12" s="814" t="s">
        <v>899</v>
      </c>
      <c r="D12" s="1315" t="s">
        <v>1924</v>
      </c>
      <c r="E12" s="1387"/>
      <c r="F12" s="1387"/>
      <c r="G12" s="1387"/>
      <c r="H12" s="1387"/>
      <c r="I12" s="1387"/>
      <c r="J12" s="1387"/>
      <c r="K12" s="1387"/>
      <c r="L12" s="1387"/>
      <c r="M12" s="1387"/>
      <c r="N12" s="1387"/>
      <c r="O12" s="1387"/>
      <c r="P12" s="1387"/>
      <c r="Q12" s="1387"/>
      <c r="R12" s="1387"/>
      <c r="S12" s="1387"/>
      <c r="T12" s="1387"/>
      <c r="U12" s="1387"/>
      <c r="V12" s="1387"/>
      <c r="W12" s="1316"/>
      <c r="X12" s="479"/>
      <c r="Y12" s="479"/>
      <c r="Z12" s="805"/>
      <c r="AA12" s="161"/>
    </row>
    <row r="13" spans="1:29" ht="21" customHeight="1" thickBot="1">
      <c r="A13" s="1405"/>
      <c r="B13" s="1750" t="s">
        <v>880</v>
      </c>
      <c r="C13" s="1751"/>
      <c r="D13" s="1618" t="s">
        <v>1925</v>
      </c>
      <c r="E13" s="1619"/>
      <c r="F13" s="1619"/>
      <c r="G13" s="1619"/>
      <c r="H13" s="1619"/>
      <c r="I13" s="1619"/>
      <c r="J13" s="1620"/>
      <c r="K13" s="1735" t="s">
        <v>881</v>
      </c>
      <c r="L13" s="1735"/>
      <c r="M13" s="1735"/>
      <c r="N13" s="1420" t="s">
        <v>1926</v>
      </c>
      <c r="O13" s="1421"/>
      <c r="P13" s="1421"/>
      <c r="Q13" s="1421"/>
      <c r="R13" s="1421"/>
      <c r="S13" s="1421"/>
      <c r="T13" s="1421"/>
      <c r="U13" s="1421"/>
      <c r="V13" s="1421"/>
      <c r="W13" s="1422"/>
      <c r="X13" s="479"/>
      <c r="Y13" s="479" t="str">
        <f>IF(AND(L9="○",D13=""),"×","○")</f>
        <v>○</v>
      </c>
      <c r="Z13" s="805"/>
      <c r="AA13" s="161"/>
    </row>
    <row r="14" spans="1:29" ht="21.75" customHeight="1">
      <c r="A14" s="1496">
        <v>2</v>
      </c>
      <c r="B14" s="1736" t="s">
        <v>1195</v>
      </c>
      <c r="C14" s="1737"/>
      <c r="D14" s="1737"/>
      <c r="E14" s="1737"/>
      <c r="F14" s="1737"/>
      <c r="G14" s="1737"/>
      <c r="H14" s="1737"/>
      <c r="I14" s="1737"/>
      <c r="J14" s="1737"/>
      <c r="K14" s="1737"/>
      <c r="L14" s="1755"/>
      <c r="M14" s="1764" t="s">
        <v>1921</v>
      </c>
      <c r="N14" s="1765"/>
      <c r="O14" s="1765"/>
      <c r="P14" s="1765"/>
      <c r="Q14" s="1765"/>
      <c r="R14" s="1765"/>
      <c r="S14" s="1765"/>
      <c r="T14" s="1765"/>
      <c r="U14" s="1765"/>
      <c r="V14" s="1765"/>
      <c r="W14" s="1766"/>
      <c r="X14" s="479"/>
      <c r="Y14" s="477" t="str">
        <f>IF(M14="","×","○")</f>
        <v>○</v>
      </c>
      <c r="Z14" s="805"/>
      <c r="AA14" s="161"/>
    </row>
    <row r="15" spans="1:29" ht="15" customHeight="1" thickBot="1">
      <c r="A15" s="1404"/>
      <c r="B15" s="806" t="s">
        <v>1188</v>
      </c>
      <c r="C15" s="807"/>
      <c r="D15" s="807"/>
      <c r="E15" s="807"/>
      <c r="F15" s="807"/>
      <c r="G15" s="807"/>
      <c r="H15" s="807"/>
      <c r="I15" s="807"/>
      <c r="J15" s="807"/>
      <c r="K15" s="807"/>
      <c r="L15" s="807"/>
      <c r="M15" s="807"/>
      <c r="N15" s="807"/>
      <c r="O15" s="807"/>
      <c r="P15" s="807"/>
      <c r="Q15" s="807"/>
      <c r="R15" s="807"/>
      <c r="S15" s="807"/>
      <c r="T15" s="807"/>
      <c r="U15" s="807"/>
      <c r="V15" s="807"/>
      <c r="W15" s="815"/>
      <c r="X15" s="479"/>
      <c r="Y15" s="479"/>
      <c r="Z15" s="805"/>
      <c r="AA15" s="161"/>
    </row>
    <row r="16" spans="1:29" s="816" customFormat="1" ht="21" customHeight="1" thickBot="1">
      <c r="A16" s="1404"/>
      <c r="B16" s="810" t="s">
        <v>1189</v>
      </c>
      <c r="C16" s="811"/>
      <c r="D16" s="812"/>
      <c r="E16" s="1741" t="s">
        <v>1190</v>
      </c>
      <c r="F16" s="1741"/>
      <c r="G16" s="1742"/>
      <c r="H16" s="1743" t="s">
        <v>862</v>
      </c>
      <c r="I16" s="1744"/>
      <c r="J16" s="1745" t="s">
        <v>1191</v>
      </c>
      <c r="K16" s="1746"/>
      <c r="L16" s="1743" t="s">
        <v>862</v>
      </c>
      <c r="M16" s="1744"/>
      <c r="N16" s="1745" t="s">
        <v>1192</v>
      </c>
      <c r="O16" s="1747"/>
      <c r="P16" s="1746"/>
      <c r="Q16" s="1743" t="s">
        <v>862</v>
      </c>
      <c r="R16" s="1744"/>
      <c r="S16" s="1745" t="s">
        <v>1193</v>
      </c>
      <c r="T16" s="1747"/>
      <c r="U16" s="1747"/>
      <c r="V16" s="1746"/>
      <c r="W16" s="47"/>
      <c r="Y16" s="479" t="str">
        <f>IF(AND(M14="臨床試験専用の窓口がある",AND(H16="",L16="",Q16="",W16="")),"×","○")</f>
        <v>○</v>
      </c>
      <c r="Z16" s="817"/>
      <c r="AA16" s="822"/>
      <c r="AC16" s="818"/>
    </row>
    <row r="17" spans="1:27" ht="21" customHeight="1" thickBot="1">
      <c r="A17" s="1404"/>
      <c r="B17" s="1501" t="s">
        <v>879</v>
      </c>
      <c r="C17" s="1501"/>
      <c r="D17" s="1502" t="s">
        <v>1922</v>
      </c>
      <c r="E17" s="1503"/>
      <c r="F17" s="1503"/>
      <c r="G17" s="1503"/>
      <c r="H17" s="1503"/>
      <c r="I17" s="1503"/>
      <c r="J17" s="1503"/>
      <c r="K17" s="1503"/>
      <c r="L17" s="1503"/>
      <c r="M17" s="1503"/>
      <c r="N17" s="1503"/>
      <c r="O17" s="1503"/>
      <c r="P17" s="1503"/>
      <c r="Q17" s="1503"/>
      <c r="R17" s="1503"/>
      <c r="S17" s="1503"/>
      <c r="T17" s="1503"/>
      <c r="U17" s="1503"/>
      <c r="V17" s="1503"/>
      <c r="W17" s="1504"/>
      <c r="Y17" s="479" t="str">
        <f>IF(AND(H16="○",D17=""),"×","○")</f>
        <v>○</v>
      </c>
      <c r="Z17" s="805"/>
      <c r="AA17" s="161"/>
    </row>
    <row r="18" spans="1:27" ht="53.25" customHeight="1" thickBot="1">
      <c r="A18" s="1404"/>
      <c r="B18" s="1748" t="s">
        <v>1194</v>
      </c>
      <c r="C18" s="813" t="s">
        <v>875</v>
      </c>
      <c r="D18" s="1315" t="s">
        <v>1923</v>
      </c>
      <c r="E18" s="1387"/>
      <c r="F18" s="1387"/>
      <c r="G18" s="1387"/>
      <c r="H18" s="1387"/>
      <c r="I18" s="1387"/>
      <c r="J18" s="1387"/>
      <c r="K18" s="1387"/>
      <c r="L18" s="1387"/>
      <c r="M18" s="1387"/>
      <c r="N18" s="1387"/>
      <c r="O18" s="1387"/>
      <c r="P18" s="1387"/>
      <c r="Q18" s="1387"/>
      <c r="R18" s="1387"/>
      <c r="S18" s="1387"/>
      <c r="T18" s="1387"/>
      <c r="U18" s="1387"/>
      <c r="V18" s="1387"/>
      <c r="W18" s="1316"/>
      <c r="Y18" s="479"/>
      <c r="Z18" s="805"/>
      <c r="AA18" s="161"/>
    </row>
    <row r="19" spans="1:27" ht="21" customHeight="1" thickBot="1">
      <c r="A19" s="1404"/>
      <c r="B19" s="1749"/>
      <c r="C19" s="814" t="s">
        <v>899</v>
      </c>
      <c r="D19" s="1315" t="s">
        <v>1924</v>
      </c>
      <c r="E19" s="1387"/>
      <c r="F19" s="1387"/>
      <c r="G19" s="1387"/>
      <c r="H19" s="1387"/>
      <c r="I19" s="1387"/>
      <c r="J19" s="1387"/>
      <c r="K19" s="1387"/>
      <c r="L19" s="1387"/>
      <c r="M19" s="1387"/>
      <c r="N19" s="1387"/>
      <c r="O19" s="1387"/>
      <c r="P19" s="1387"/>
      <c r="Q19" s="1387"/>
      <c r="R19" s="1387"/>
      <c r="S19" s="1387"/>
      <c r="T19" s="1387"/>
      <c r="U19" s="1387"/>
      <c r="V19" s="1387"/>
      <c r="W19" s="1316"/>
      <c r="Z19" s="805"/>
      <c r="AA19" s="161"/>
    </row>
    <row r="20" spans="1:27" ht="30" customHeight="1" thickBot="1">
      <c r="A20" s="1405"/>
      <c r="B20" s="1750" t="s">
        <v>880</v>
      </c>
      <c r="C20" s="1751"/>
      <c r="D20" s="1618" t="s">
        <v>1927</v>
      </c>
      <c r="E20" s="1619"/>
      <c r="F20" s="1619"/>
      <c r="G20" s="1619"/>
      <c r="H20" s="1619"/>
      <c r="I20" s="1619"/>
      <c r="J20" s="1620"/>
      <c r="K20" s="1735" t="s">
        <v>881</v>
      </c>
      <c r="L20" s="1735"/>
      <c r="M20" s="1735"/>
      <c r="N20" s="1420" t="s">
        <v>1926</v>
      </c>
      <c r="O20" s="1421"/>
      <c r="P20" s="1421"/>
      <c r="Q20" s="1421"/>
      <c r="R20" s="1421"/>
      <c r="S20" s="1421"/>
      <c r="T20" s="1421"/>
      <c r="U20" s="1421"/>
      <c r="V20" s="1421"/>
      <c r="W20" s="1422"/>
      <c r="Y20" s="479" t="str">
        <f>IF(AND(L16="○",D20=""),"×","○")</f>
        <v>○</v>
      </c>
      <c r="Z20" s="805"/>
      <c r="AA20" s="161"/>
    </row>
    <row r="21" spans="1:27" ht="24" customHeight="1" thickBot="1">
      <c r="A21" s="804" t="s">
        <v>1196</v>
      </c>
      <c r="B21" s="819" t="s">
        <v>1197</v>
      </c>
      <c r="C21" s="819"/>
      <c r="D21" s="819"/>
      <c r="E21" s="819"/>
      <c r="F21" s="819"/>
      <c r="G21" s="819"/>
      <c r="H21" s="819"/>
      <c r="I21" s="819"/>
      <c r="J21" s="819"/>
      <c r="K21" s="819"/>
      <c r="L21" s="819"/>
      <c r="M21" s="819"/>
      <c r="N21" s="819"/>
      <c r="O21" s="819"/>
      <c r="P21" s="819"/>
      <c r="Q21" s="819"/>
      <c r="R21" s="819"/>
      <c r="S21" s="819"/>
      <c r="T21" s="819"/>
      <c r="U21" s="819"/>
      <c r="V21" s="819"/>
      <c r="W21" s="819"/>
      <c r="Z21" s="805"/>
      <c r="AA21" s="161"/>
    </row>
    <row r="22" spans="1:27" ht="20.25" customHeight="1" thickBot="1">
      <c r="A22" s="1496">
        <v>1</v>
      </c>
      <c r="B22" s="1440" t="s">
        <v>1198</v>
      </c>
      <c r="C22" s="1441"/>
      <c r="D22" s="1441"/>
      <c r="E22" s="1441"/>
      <c r="F22" s="1441"/>
      <c r="G22" s="1441"/>
      <c r="H22" s="1441"/>
      <c r="I22" s="1441"/>
      <c r="J22" s="1441"/>
      <c r="K22" s="1441"/>
      <c r="L22" s="1754"/>
      <c r="M22" s="1445" t="s">
        <v>1928</v>
      </c>
      <c r="N22" s="1739"/>
      <c r="O22" s="1739"/>
      <c r="P22" s="1739"/>
      <c r="Q22" s="1739"/>
      <c r="R22" s="1739"/>
      <c r="S22" s="1739"/>
      <c r="T22" s="1739"/>
      <c r="U22" s="1739"/>
      <c r="V22" s="1739"/>
      <c r="W22" s="1740"/>
      <c r="Y22" s="477" t="str">
        <f>IF(M22="","×","○")</f>
        <v>○</v>
      </c>
      <c r="Z22" s="805"/>
      <c r="AA22" s="161"/>
    </row>
    <row r="23" spans="1:27" ht="24" customHeight="1" thickBot="1">
      <c r="A23" s="1752"/>
      <c r="B23" s="806" t="s">
        <v>1199</v>
      </c>
      <c r="C23" s="807"/>
      <c r="D23" s="807"/>
      <c r="E23" s="807"/>
      <c r="F23" s="807"/>
      <c r="G23" s="807"/>
      <c r="H23" s="807"/>
      <c r="I23" s="807"/>
      <c r="J23" s="807"/>
      <c r="K23" s="807"/>
      <c r="L23" s="807"/>
      <c r="M23" s="480"/>
      <c r="N23" s="480"/>
      <c r="O23" s="480"/>
      <c r="P23" s="480"/>
      <c r="Q23" s="480"/>
      <c r="R23" s="480"/>
      <c r="S23" s="480"/>
      <c r="T23" s="480"/>
      <c r="U23" s="480"/>
      <c r="V23" s="480"/>
      <c r="W23" s="820"/>
      <c r="Z23" s="805"/>
      <c r="AA23" s="161"/>
    </row>
    <row r="24" spans="1:27" ht="24" customHeight="1" thickBot="1">
      <c r="A24" s="1752"/>
      <c r="B24" s="810" t="s">
        <v>1189</v>
      </c>
      <c r="C24" s="811"/>
      <c r="D24" s="812"/>
      <c r="E24" s="1741" t="s">
        <v>1190</v>
      </c>
      <c r="F24" s="1741"/>
      <c r="G24" s="1742"/>
      <c r="H24" s="1743" t="s">
        <v>862</v>
      </c>
      <c r="I24" s="1744"/>
      <c r="J24" s="1745" t="s">
        <v>1191</v>
      </c>
      <c r="K24" s="1746"/>
      <c r="L24" s="1743" t="s">
        <v>862</v>
      </c>
      <c r="M24" s="1744"/>
      <c r="N24" s="1745" t="s">
        <v>1192</v>
      </c>
      <c r="O24" s="1747"/>
      <c r="P24" s="1746"/>
      <c r="Q24" s="1743" t="s">
        <v>862</v>
      </c>
      <c r="R24" s="1744"/>
      <c r="S24" s="1745" t="s">
        <v>1193</v>
      </c>
      <c r="T24" s="1747"/>
      <c r="U24" s="1747"/>
      <c r="V24" s="1746"/>
      <c r="W24" s="47"/>
      <c r="Y24" s="479" t="str">
        <f>IF(AND(M22="治験専用の窓口がある",AND(H24="",L24="",Q24="",W24="")),"×","○")</f>
        <v>○</v>
      </c>
      <c r="Z24" s="805"/>
      <c r="AA24" s="161"/>
    </row>
    <row r="25" spans="1:27" ht="24" customHeight="1" thickBot="1">
      <c r="A25" s="1752"/>
      <c r="B25" s="1501" t="s">
        <v>879</v>
      </c>
      <c r="C25" s="1501"/>
      <c r="D25" s="1502" t="s">
        <v>1922</v>
      </c>
      <c r="E25" s="1503"/>
      <c r="F25" s="1503"/>
      <c r="G25" s="1503"/>
      <c r="H25" s="1503"/>
      <c r="I25" s="1503"/>
      <c r="J25" s="1503"/>
      <c r="K25" s="1503"/>
      <c r="L25" s="1503"/>
      <c r="M25" s="1503"/>
      <c r="N25" s="1503"/>
      <c r="O25" s="1503"/>
      <c r="P25" s="1503"/>
      <c r="Q25" s="1503"/>
      <c r="R25" s="1503"/>
      <c r="S25" s="1503"/>
      <c r="T25" s="1503"/>
      <c r="U25" s="1503"/>
      <c r="V25" s="1503"/>
      <c r="W25" s="1504"/>
      <c r="Y25" s="479" t="str">
        <f>IF(AND(H24="○",D25=""),"×","○")</f>
        <v>○</v>
      </c>
      <c r="Z25" s="805"/>
      <c r="AA25" s="161"/>
    </row>
    <row r="26" spans="1:27" ht="54" customHeight="1" thickBot="1">
      <c r="A26" s="1752"/>
      <c r="B26" s="1748" t="s">
        <v>1194</v>
      </c>
      <c r="C26" s="813" t="s">
        <v>875</v>
      </c>
      <c r="D26" s="1315" t="s">
        <v>1929</v>
      </c>
      <c r="E26" s="1387"/>
      <c r="F26" s="1387"/>
      <c r="G26" s="1387"/>
      <c r="H26" s="1387"/>
      <c r="I26" s="1387"/>
      <c r="J26" s="1387"/>
      <c r="K26" s="1387"/>
      <c r="L26" s="1387"/>
      <c r="M26" s="1387"/>
      <c r="N26" s="1387"/>
      <c r="O26" s="1387"/>
      <c r="P26" s="1387"/>
      <c r="Q26" s="1387"/>
      <c r="R26" s="1387"/>
      <c r="S26" s="1387"/>
      <c r="T26" s="1387"/>
      <c r="U26" s="1387"/>
      <c r="V26" s="1387"/>
      <c r="W26" s="1316"/>
      <c r="Z26" s="805"/>
      <c r="AA26" s="161"/>
    </row>
    <row r="27" spans="1:27" ht="24" customHeight="1" thickBot="1">
      <c r="A27" s="1752"/>
      <c r="B27" s="1749"/>
      <c r="C27" s="814" t="s">
        <v>899</v>
      </c>
      <c r="D27" s="1315" t="s">
        <v>1930</v>
      </c>
      <c r="E27" s="1387"/>
      <c r="F27" s="1387"/>
      <c r="G27" s="1387"/>
      <c r="H27" s="1387"/>
      <c r="I27" s="1387"/>
      <c r="J27" s="1387"/>
      <c r="K27" s="1387"/>
      <c r="L27" s="1387"/>
      <c r="M27" s="1387"/>
      <c r="N27" s="1387"/>
      <c r="O27" s="1387"/>
      <c r="P27" s="1387"/>
      <c r="Q27" s="1387"/>
      <c r="R27" s="1387"/>
      <c r="S27" s="1387"/>
      <c r="T27" s="1387"/>
      <c r="U27" s="1387"/>
      <c r="V27" s="1387"/>
      <c r="W27" s="1316"/>
      <c r="Z27" s="805"/>
      <c r="AA27" s="161"/>
    </row>
    <row r="28" spans="1:27" ht="24" customHeight="1" thickBot="1">
      <c r="A28" s="1753"/>
      <c r="B28" s="1750" t="s">
        <v>880</v>
      </c>
      <c r="C28" s="1751"/>
      <c r="D28" s="1618" t="s">
        <v>1931</v>
      </c>
      <c r="E28" s="1619"/>
      <c r="F28" s="1619"/>
      <c r="G28" s="1619"/>
      <c r="H28" s="1619"/>
      <c r="I28" s="1619"/>
      <c r="J28" s="1620"/>
      <c r="K28" s="1735" t="s">
        <v>881</v>
      </c>
      <c r="L28" s="1735"/>
      <c r="M28" s="1735"/>
      <c r="N28" s="1420" t="s">
        <v>1926</v>
      </c>
      <c r="O28" s="1421"/>
      <c r="P28" s="1421"/>
      <c r="Q28" s="1421"/>
      <c r="R28" s="1421"/>
      <c r="S28" s="1421"/>
      <c r="T28" s="1421"/>
      <c r="U28" s="1421"/>
      <c r="V28" s="1421"/>
      <c r="W28" s="1422"/>
      <c r="Y28" s="479" t="str">
        <f>IF(AND(L24="○",D28=""),"×","○")</f>
        <v>○</v>
      </c>
      <c r="Z28" s="805"/>
      <c r="AA28" s="161"/>
    </row>
    <row r="29" spans="1:27" ht="21" customHeight="1" thickBot="1">
      <c r="A29" s="1496">
        <v>2</v>
      </c>
      <c r="B29" s="1736" t="s">
        <v>1200</v>
      </c>
      <c r="C29" s="1737"/>
      <c r="D29" s="1737"/>
      <c r="E29" s="1737"/>
      <c r="F29" s="1737"/>
      <c r="G29" s="1737"/>
      <c r="H29" s="1737"/>
      <c r="I29" s="1737"/>
      <c r="J29" s="1737"/>
      <c r="K29" s="1737"/>
      <c r="L29" s="1738"/>
      <c r="M29" s="1445" t="s">
        <v>1928</v>
      </c>
      <c r="N29" s="1739"/>
      <c r="O29" s="1739"/>
      <c r="P29" s="1739"/>
      <c r="Q29" s="1739"/>
      <c r="R29" s="1739"/>
      <c r="S29" s="1739"/>
      <c r="T29" s="1739"/>
      <c r="U29" s="1739"/>
      <c r="V29" s="1739"/>
      <c r="W29" s="1740"/>
      <c r="Y29" s="477" t="str">
        <f>IF(M29="","×","○")</f>
        <v>○</v>
      </c>
      <c r="Z29" s="805"/>
      <c r="AA29" s="161"/>
    </row>
    <row r="30" spans="1:27" ht="24" customHeight="1" thickBot="1">
      <c r="A30" s="1404"/>
      <c r="B30" s="806" t="s">
        <v>1199</v>
      </c>
      <c r="C30" s="807"/>
      <c r="D30" s="807"/>
      <c r="E30" s="807"/>
      <c r="F30" s="807"/>
      <c r="G30" s="807"/>
      <c r="H30" s="807"/>
      <c r="I30" s="807"/>
      <c r="J30" s="807"/>
      <c r="K30" s="807"/>
      <c r="L30" s="807"/>
      <c r="M30" s="480"/>
      <c r="N30" s="480"/>
      <c r="O30" s="480"/>
      <c r="P30" s="480"/>
      <c r="Q30" s="480"/>
      <c r="R30" s="480"/>
      <c r="S30" s="480"/>
      <c r="T30" s="480"/>
      <c r="U30" s="480"/>
      <c r="V30" s="480"/>
      <c r="W30" s="820"/>
      <c r="Z30" s="805"/>
      <c r="AA30" s="161"/>
    </row>
    <row r="31" spans="1:27" ht="24" customHeight="1" thickBot="1">
      <c r="A31" s="1404"/>
      <c r="B31" s="810" t="s">
        <v>1189</v>
      </c>
      <c r="C31" s="811"/>
      <c r="D31" s="812"/>
      <c r="E31" s="1741" t="s">
        <v>1190</v>
      </c>
      <c r="F31" s="1741"/>
      <c r="G31" s="1742"/>
      <c r="H31" s="1743" t="s">
        <v>862</v>
      </c>
      <c r="I31" s="1744"/>
      <c r="J31" s="1745" t="s">
        <v>1191</v>
      </c>
      <c r="K31" s="1746"/>
      <c r="L31" s="1743" t="s">
        <v>862</v>
      </c>
      <c r="M31" s="1744"/>
      <c r="N31" s="1745" t="s">
        <v>1192</v>
      </c>
      <c r="O31" s="1747"/>
      <c r="P31" s="1746"/>
      <c r="Q31" s="1743" t="s">
        <v>862</v>
      </c>
      <c r="R31" s="1744"/>
      <c r="S31" s="1745" t="s">
        <v>1193</v>
      </c>
      <c r="T31" s="1747"/>
      <c r="U31" s="1747"/>
      <c r="V31" s="1746"/>
      <c r="W31" s="47"/>
      <c r="Y31" s="479" t="str">
        <f>IF(AND(M29="治験専用の窓口がある",AND(H31="",L31="",Q31="",W31="")),"×","○")</f>
        <v>○</v>
      </c>
      <c r="Z31" s="805"/>
      <c r="AA31" s="161"/>
    </row>
    <row r="32" spans="1:27" ht="24" customHeight="1" thickBot="1">
      <c r="A32" s="1404"/>
      <c r="B32" s="1501" t="s">
        <v>879</v>
      </c>
      <c r="C32" s="1501"/>
      <c r="D32" s="1502" t="s">
        <v>1922</v>
      </c>
      <c r="E32" s="1503"/>
      <c r="F32" s="1503"/>
      <c r="G32" s="1503"/>
      <c r="H32" s="1503"/>
      <c r="I32" s="1503"/>
      <c r="J32" s="1503"/>
      <c r="K32" s="1503"/>
      <c r="L32" s="1503"/>
      <c r="M32" s="1503"/>
      <c r="N32" s="1503"/>
      <c r="O32" s="1503"/>
      <c r="P32" s="1503"/>
      <c r="Q32" s="1503"/>
      <c r="R32" s="1503"/>
      <c r="S32" s="1503"/>
      <c r="T32" s="1503"/>
      <c r="U32" s="1503"/>
      <c r="V32" s="1503"/>
      <c r="W32" s="1504"/>
      <c r="Y32" s="479" t="str">
        <f>IF(AND(H31="○",D32=""),"×","○")</f>
        <v>○</v>
      </c>
      <c r="Z32" s="805"/>
      <c r="AA32" s="161"/>
    </row>
    <row r="33" spans="1:27" ht="53.25" customHeight="1" thickBot="1">
      <c r="A33" s="1404"/>
      <c r="B33" s="1748" t="s">
        <v>1194</v>
      </c>
      <c r="C33" s="813" t="s">
        <v>875</v>
      </c>
      <c r="D33" s="1315" t="s">
        <v>1929</v>
      </c>
      <c r="E33" s="1387"/>
      <c r="F33" s="1387"/>
      <c r="G33" s="1387"/>
      <c r="H33" s="1387"/>
      <c r="I33" s="1387"/>
      <c r="J33" s="1387"/>
      <c r="K33" s="1387"/>
      <c r="L33" s="1387"/>
      <c r="M33" s="1387"/>
      <c r="N33" s="1387"/>
      <c r="O33" s="1387"/>
      <c r="P33" s="1387"/>
      <c r="Q33" s="1387"/>
      <c r="R33" s="1387"/>
      <c r="S33" s="1387"/>
      <c r="T33" s="1387"/>
      <c r="U33" s="1387"/>
      <c r="V33" s="1387"/>
      <c r="W33" s="1316"/>
      <c r="Z33" s="805"/>
      <c r="AA33" s="161"/>
    </row>
    <row r="34" spans="1:27" ht="24" customHeight="1" thickBot="1">
      <c r="A34" s="1404"/>
      <c r="B34" s="1749"/>
      <c r="C34" s="814" t="s">
        <v>899</v>
      </c>
      <c r="D34" s="1315" t="s">
        <v>1930</v>
      </c>
      <c r="E34" s="1387"/>
      <c r="F34" s="1387"/>
      <c r="G34" s="1387"/>
      <c r="H34" s="1387"/>
      <c r="I34" s="1387"/>
      <c r="J34" s="1387"/>
      <c r="K34" s="1387"/>
      <c r="L34" s="1387"/>
      <c r="M34" s="1387"/>
      <c r="N34" s="1387"/>
      <c r="O34" s="1387"/>
      <c r="P34" s="1387"/>
      <c r="Q34" s="1387"/>
      <c r="R34" s="1387"/>
      <c r="S34" s="1387"/>
      <c r="T34" s="1387"/>
      <c r="U34" s="1387"/>
      <c r="V34" s="1387"/>
      <c r="W34" s="1316"/>
      <c r="Z34" s="805"/>
      <c r="AA34" s="161"/>
    </row>
    <row r="35" spans="1:27" ht="24" customHeight="1" thickBot="1">
      <c r="A35" s="1404"/>
      <c r="B35" s="1750" t="s">
        <v>880</v>
      </c>
      <c r="C35" s="1751"/>
      <c r="D35" s="1618" t="s">
        <v>1927</v>
      </c>
      <c r="E35" s="1619"/>
      <c r="F35" s="1619"/>
      <c r="G35" s="1619"/>
      <c r="H35" s="1619"/>
      <c r="I35" s="1619"/>
      <c r="J35" s="1620"/>
      <c r="K35" s="1735" t="s">
        <v>881</v>
      </c>
      <c r="L35" s="1735"/>
      <c r="M35" s="1735"/>
      <c r="N35" s="1420" t="s">
        <v>1926</v>
      </c>
      <c r="O35" s="1421"/>
      <c r="P35" s="1421"/>
      <c r="Q35" s="1421"/>
      <c r="R35" s="1421"/>
      <c r="S35" s="1421"/>
      <c r="T35" s="1421"/>
      <c r="U35" s="1421"/>
      <c r="V35" s="1421"/>
      <c r="W35" s="1422"/>
      <c r="Y35" s="479" t="str">
        <f>IF(AND(L31="○",D35=""),"×","○")</f>
        <v>○</v>
      </c>
      <c r="Z35" s="805"/>
      <c r="AA35" s="162"/>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21" t="s">
        <v>935</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9"/>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S13" sqref="S13"/>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6" customWidth="1"/>
    <col min="20" max="16384" width="9" style="8"/>
  </cols>
  <sheetData>
    <row r="1" spans="1:19" ht="15.95" customHeight="1" thickBot="1">
      <c r="A1" s="1322" t="s">
        <v>1201</v>
      </c>
      <c r="B1" s="1322"/>
      <c r="C1" s="1322"/>
      <c r="D1" s="1322"/>
      <c r="E1" s="1322"/>
      <c r="F1" s="1322"/>
      <c r="G1" s="1322"/>
      <c r="H1" s="1322"/>
      <c r="I1" s="1322"/>
      <c r="J1" s="1322"/>
      <c r="K1" s="1322"/>
      <c r="L1" s="1322"/>
      <c r="M1" s="1322"/>
      <c r="N1" s="1322"/>
      <c r="O1" s="1322"/>
      <c r="P1" s="824"/>
      <c r="Q1" s="613"/>
      <c r="R1" s="83"/>
      <c r="S1" s="614"/>
    </row>
    <row r="2" spans="1:19" ht="24.95" customHeight="1" thickBot="1">
      <c r="A2" s="1381" t="s">
        <v>865</v>
      </c>
      <c r="B2" s="1381"/>
      <c r="C2" s="1381"/>
      <c r="D2" s="1381"/>
      <c r="E2" s="1381"/>
      <c r="F2" s="1381"/>
      <c r="G2" s="1381"/>
      <c r="H2" s="1381"/>
      <c r="I2" s="1381"/>
      <c r="J2" s="1381"/>
      <c r="K2" s="1381"/>
      <c r="L2" s="1381"/>
      <c r="M2" s="1381"/>
      <c r="N2" s="1381"/>
      <c r="O2" s="825" t="str">
        <f>IF(COUNTIF(Q7:Q14,"×")&gt;=1,"未入力あり","入力済")</f>
        <v>入力済</v>
      </c>
      <c r="P2" s="1317"/>
      <c r="Q2" s="1317"/>
      <c r="R2" s="83"/>
    </row>
    <row r="3" spans="1:19" ht="5.0999999999999996" customHeight="1">
      <c r="A3" s="477"/>
      <c r="B3" s="477"/>
      <c r="C3" s="477"/>
      <c r="D3" s="477"/>
      <c r="E3" s="477"/>
      <c r="F3" s="477"/>
      <c r="G3" s="477"/>
      <c r="H3" s="477"/>
      <c r="I3" s="477"/>
      <c r="J3" s="477"/>
      <c r="K3" s="477"/>
      <c r="L3" s="477"/>
      <c r="M3" s="477"/>
      <c r="N3" s="477"/>
      <c r="O3" s="503"/>
      <c r="P3" s="1317"/>
      <c r="Q3" s="1317"/>
    </row>
    <row r="4" spans="1:19" ht="20.25" customHeight="1">
      <c r="A4" s="477"/>
      <c r="B4" s="477"/>
      <c r="C4" s="477"/>
      <c r="D4" s="477"/>
      <c r="E4" s="477"/>
      <c r="F4" s="803" t="s">
        <v>757</v>
      </c>
      <c r="G4" s="1781" t="str">
        <f>表紙!E2</f>
        <v>パナソニック健康保険組合　松下記念病院</v>
      </c>
      <c r="H4" s="1782"/>
      <c r="I4" s="1782"/>
      <c r="J4" s="1782"/>
      <c r="K4" s="1782"/>
      <c r="L4" s="1782"/>
      <c r="M4" s="1782"/>
      <c r="N4" s="1782"/>
      <c r="O4" s="1783"/>
      <c r="P4" s="1317"/>
      <c r="Q4" s="1317"/>
      <c r="R4" s="83"/>
    </row>
    <row r="5" spans="1:19" ht="15.75" customHeight="1">
      <c r="A5" s="477"/>
      <c r="B5" s="477"/>
      <c r="C5" s="477"/>
      <c r="D5" s="477"/>
      <c r="E5" s="477"/>
      <c r="F5" s="803"/>
      <c r="L5" s="51"/>
      <c r="M5" s="51"/>
      <c r="N5" s="651"/>
      <c r="O5" s="823" t="str">
        <f>別紙1未充足要件!E5</f>
        <v>令和６年９月１日時点</v>
      </c>
      <c r="P5" s="1317"/>
      <c r="Q5" s="1317"/>
      <c r="R5" s="106"/>
      <c r="S5" s="177" t="s">
        <v>234</v>
      </c>
    </row>
    <row r="6" spans="1:19" ht="12.75" customHeight="1" thickBot="1">
      <c r="A6" s="477"/>
      <c r="B6" s="477"/>
      <c r="C6" s="477"/>
      <c r="D6" s="477"/>
      <c r="E6" s="477"/>
      <c r="F6" s="477"/>
      <c r="G6" s="477"/>
      <c r="H6" s="477"/>
      <c r="I6" s="477"/>
      <c r="J6" s="477"/>
      <c r="K6" s="477"/>
      <c r="L6" s="477"/>
      <c r="M6" s="477"/>
      <c r="N6" s="51"/>
      <c r="O6" s="51"/>
      <c r="P6" s="51"/>
      <c r="Q6" s="51"/>
      <c r="S6" s="178"/>
    </row>
    <row r="7" spans="1:19" ht="52.9" customHeight="1" thickBot="1">
      <c r="A7" s="483">
        <v>1</v>
      </c>
      <c r="B7" s="1774" t="s">
        <v>1202</v>
      </c>
      <c r="C7" s="1775"/>
      <c r="D7" s="1775"/>
      <c r="E7" s="1775"/>
      <c r="F7" s="1775"/>
      <c r="G7" s="1775"/>
      <c r="H7" s="1776"/>
      <c r="I7" s="1573" t="s">
        <v>1808</v>
      </c>
      <c r="J7" s="1574"/>
      <c r="K7" s="1574"/>
      <c r="L7" s="1574"/>
      <c r="M7" s="1575"/>
      <c r="N7" s="51"/>
      <c r="O7" s="51"/>
      <c r="P7" s="51"/>
      <c r="Q7" s="477" t="str">
        <f>IF(I7="","×","○")</f>
        <v>○</v>
      </c>
      <c r="S7" s="163"/>
    </row>
    <row r="8" spans="1:19" ht="39" customHeight="1" thickBot="1">
      <c r="A8" s="483">
        <v>2</v>
      </c>
      <c r="B8" s="1774" t="s">
        <v>1203</v>
      </c>
      <c r="C8" s="1777"/>
      <c r="D8" s="1777"/>
      <c r="E8" s="1777"/>
      <c r="F8" s="1777"/>
      <c r="G8" s="1777"/>
      <c r="H8" s="1778"/>
      <c r="I8" s="1573" t="s">
        <v>1809</v>
      </c>
      <c r="J8" s="1574"/>
      <c r="K8" s="1574"/>
      <c r="L8" s="1574"/>
      <c r="M8" s="1575"/>
      <c r="N8" s="51"/>
      <c r="O8" s="51"/>
      <c r="P8" s="51"/>
      <c r="Q8" s="477" t="str">
        <f t="shared" ref="Q8:Q14" si="0">IF(I8="","×","○")</f>
        <v>○</v>
      </c>
      <c r="S8" s="163"/>
    </row>
    <row r="9" spans="1:19" ht="39" customHeight="1" thickBot="1">
      <c r="A9" s="483">
        <v>3</v>
      </c>
      <c r="B9" s="1774" t="s">
        <v>1204</v>
      </c>
      <c r="C9" s="1779"/>
      <c r="D9" s="1779"/>
      <c r="E9" s="1779"/>
      <c r="F9" s="1779"/>
      <c r="G9" s="1779"/>
      <c r="H9" s="1780"/>
      <c r="I9" s="1573" t="s">
        <v>1808</v>
      </c>
      <c r="J9" s="1574"/>
      <c r="K9" s="1574"/>
      <c r="L9" s="1574"/>
      <c r="M9" s="1575"/>
      <c r="N9" s="51"/>
      <c r="O9" s="51"/>
      <c r="P9" s="51"/>
      <c r="Q9" s="477" t="str">
        <f t="shared" si="0"/>
        <v>○</v>
      </c>
      <c r="S9" s="163"/>
    </row>
    <row r="10" spans="1:19" ht="39" customHeight="1" thickBot="1">
      <c r="A10" s="483">
        <v>4</v>
      </c>
      <c r="B10" s="1774" t="s">
        <v>1205</v>
      </c>
      <c r="C10" s="1775"/>
      <c r="D10" s="1775"/>
      <c r="E10" s="1775"/>
      <c r="F10" s="1775"/>
      <c r="G10" s="1775"/>
      <c r="H10" s="1776"/>
      <c r="I10" s="1573" t="s">
        <v>1808</v>
      </c>
      <c r="J10" s="1574"/>
      <c r="K10" s="1574"/>
      <c r="L10" s="1574"/>
      <c r="M10" s="1575"/>
      <c r="N10" s="51"/>
      <c r="O10" s="51"/>
      <c r="P10" s="51"/>
      <c r="Q10" s="477" t="str">
        <f t="shared" si="0"/>
        <v>○</v>
      </c>
      <c r="S10" s="163"/>
    </row>
    <row r="11" spans="1:19" ht="39" customHeight="1" thickBot="1">
      <c r="A11" s="483">
        <v>5</v>
      </c>
      <c r="B11" s="1774" t="s">
        <v>1206</v>
      </c>
      <c r="C11" s="1775"/>
      <c r="D11" s="1775"/>
      <c r="E11" s="1775"/>
      <c r="F11" s="1775"/>
      <c r="G11" s="1775"/>
      <c r="H11" s="1776"/>
      <c r="I11" s="1573" t="s">
        <v>1808</v>
      </c>
      <c r="J11" s="1574"/>
      <c r="K11" s="1574"/>
      <c r="L11" s="1574"/>
      <c r="M11" s="1575"/>
      <c r="N11" s="51"/>
      <c r="O11" s="51"/>
      <c r="P11" s="51"/>
      <c r="Q11" s="477" t="str">
        <f t="shared" si="0"/>
        <v>○</v>
      </c>
      <c r="S11" s="163"/>
    </row>
    <row r="12" spans="1:19" ht="39" customHeight="1" thickBot="1">
      <c r="A12" s="550">
        <v>6</v>
      </c>
      <c r="B12" s="1771" t="s">
        <v>1207</v>
      </c>
      <c r="C12" s="1772"/>
      <c r="D12" s="1772"/>
      <c r="E12" s="1772"/>
      <c r="F12" s="1772"/>
      <c r="G12" s="1772"/>
      <c r="H12" s="1773"/>
      <c r="I12" s="1573" t="s">
        <v>1808</v>
      </c>
      <c r="J12" s="1574"/>
      <c r="K12" s="1574"/>
      <c r="L12" s="1574"/>
      <c r="M12" s="1575"/>
      <c r="N12" s="51"/>
      <c r="O12" s="51"/>
      <c r="P12" s="51"/>
      <c r="Q12" s="477" t="str">
        <f t="shared" si="0"/>
        <v>○</v>
      </c>
      <c r="S12" s="163"/>
    </row>
    <row r="13" spans="1:19" ht="39" customHeight="1" thickBot="1">
      <c r="A13" s="483">
        <v>7</v>
      </c>
      <c r="B13" s="1774" t="s">
        <v>1208</v>
      </c>
      <c r="C13" s="1775"/>
      <c r="D13" s="1775"/>
      <c r="E13" s="1775"/>
      <c r="F13" s="1775"/>
      <c r="G13" s="1775"/>
      <c r="H13" s="1776"/>
      <c r="I13" s="1573" t="s">
        <v>1808</v>
      </c>
      <c r="J13" s="1574"/>
      <c r="K13" s="1574"/>
      <c r="L13" s="1574"/>
      <c r="M13" s="1575"/>
      <c r="N13" s="51"/>
      <c r="O13" s="51"/>
      <c r="P13" s="51"/>
      <c r="Q13" s="477" t="str">
        <f t="shared" si="0"/>
        <v>○</v>
      </c>
      <c r="S13" s="163"/>
    </row>
    <row r="14" spans="1:19" ht="39" customHeight="1" thickBot="1">
      <c r="A14" s="550">
        <v>8</v>
      </c>
      <c r="B14" s="1771" t="s">
        <v>1209</v>
      </c>
      <c r="C14" s="1772"/>
      <c r="D14" s="1772"/>
      <c r="E14" s="1772"/>
      <c r="F14" s="1772"/>
      <c r="G14" s="1772"/>
      <c r="H14" s="1773"/>
      <c r="I14" s="1573" t="s">
        <v>1808</v>
      </c>
      <c r="J14" s="1574"/>
      <c r="K14" s="1574"/>
      <c r="L14" s="1574"/>
      <c r="M14" s="1575"/>
      <c r="N14" s="51"/>
      <c r="O14" s="51"/>
      <c r="P14" s="51"/>
      <c r="Q14" s="477" t="str">
        <f t="shared" si="0"/>
        <v>○</v>
      </c>
      <c r="S14" s="175"/>
    </row>
    <row r="15" spans="1:19">
      <c r="A15" s="190"/>
    </row>
    <row r="16" spans="1:19">
      <c r="A16" s="190"/>
    </row>
    <row r="17" spans="1:1">
      <c r="A17" s="190"/>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9"/>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topLeftCell="D7" zoomScaleNormal="100" zoomScaleSheetLayoutView="100" workbookViewId="0">
      <selection activeCell="M20" sqref="M20"/>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332" customWidth="1"/>
  </cols>
  <sheetData>
    <row r="1" spans="1:13" ht="18" customHeight="1" thickBot="1">
      <c r="A1" s="1785" t="s">
        <v>1210</v>
      </c>
      <c r="B1" s="1785"/>
      <c r="C1" s="1785"/>
      <c r="D1" s="1785"/>
      <c r="E1" s="1785"/>
      <c r="F1" s="1785"/>
      <c r="G1" s="1785"/>
      <c r="H1" s="1785"/>
      <c r="I1" s="1785"/>
      <c r="L1" s="83"/>
    </row>
    <row r="2" spans="1:13" ht="24.95" customHeight="1" thickTop="1" thickBot="1">
      <c r="A2" s="1324" t="s">
        <v>865</v>
      </c>
      <c r="B2" s="1324"/>
      <c r="C2" s="1324"/>
      <c r="D2" s="1324"/>
      <c r="E2" s="1324"/>
      <c r="F2" s="1324"/>
      <c r="G2" s="1324"/>
      <c r="H2" s="1324"/>
      <c r="I2" s="427" t="str">
        <f>IF(COUNTIF(K6:K33,"×")&gt;=1,"未入力あり","入力済")</f>
        <v>入力済</v>
      </c>
      <c r="J2" s="1791"/>
      <c r="K2" s="428"/>
      <c r="L2" s="83"/>
    </row>
    <row r="3" spans="1:13" ht="15" thickTop="1">
      <c r="A3" s="826"/>
      <c r="B3" s="826"/>
      <c r="C3" s="826"/>
      <c r="D3" s="826"/>
      <c r="E3" s="826"/>
      <c r="F3" s="826"/>
      <c r="G3" s="826"/>
      <c r="H3" s="826"/>
      <c r="I3" s="827"/>
      <c r="J3" s="1791"/>
      <c r="K3" s="428"/>
      <c r="L3" s="83"/>
    </row>
    <row r="4" spans="1:13" s="830" customFormat="1" ht="20.100000000000001" customHeight="1">
      <c r="A4" s="828"/>
      <c r="B4" s="828"/>
      <c r="C4" s="828"/>
      <c r="D4" s="828"/>
      <c r="E4" s="828"/>
      <c r="F4" s="829" t="s">
        <v>1211</v>
      </c>
      <c r="G4" s="1786" t="str">
        <f>表紙!E2</f>
        <v>パナソニック健康保険組合　松下記念病院</v>
      </c>
      <c r="H4" s="1787"/>
      <c r="I4" s="1788"/>
      <c r="J4" s="1791"/>
      <c r="K4" s="428"/>
      <c r="L4" s="743"/>
      <c r="M4" s="177" t="s">
        <v>924</v>
      </c>
    </row>
    <row r="5" spans="1:13" s="830" customFormat="1" ht="20.100000000000001" customHeight="1" thickBot="1">
      <c r="A5" s="828"/>
      <c r="B5" s="828"/>
      <c r="C5" s="828"/>
      <c r="D5" s="828"/>
      <c r="E5" s="828"/>
      <c r="F5" s="829"/>
      <c r="G5" s="831" t="str">
        <f>別紙1未充足要件!E5</f>
        <v>令和６年９月１日時点</v>
      </c>
      <c r="H5" s="831"/>
      <c r="I5" s="831"/>
      <c r="J5" s="743"/>
      <c r="K5" s="743"/>
      <c r="L5" s="743"/>
      <c r="M5" s="74"/>
    </row>
    <row r="6" spans="1:13" s="830" customFormat="1" ht="20.100000000000001" customHeight="1" thickBot="1">
      <c r="A6" s="832" t="s">
        <v>1212</v>
      </c>
      <c r="B6" s="828"/>
      <c r="C6" s="828"/>
      <c r="D6" s="828"/>
      <c r="E6" s="828"/>
      <c r="F6" s="829"/>
      <c r="G6" s="330"/>
      <c r="H6" s="43" t="s">
        <v>1808</v>
      </c>
      <c r="I6" s="49" t="s">
        <v>1145</v>
      </c>
      <c r="J6" s="743"/>
      <c r="K6" s="743" t="str">
        <f>IF(H6="","×","○")</f>
        <v>○</v>
      </c>
      <c r="L6" s="743"/>
      <c r="M6" s="74"/>
    </row>
    <row r="7" spans="1:13" s="830" customFormat="1" ht="20.100000000000001" customHeight="1">
      <c r="A7" s="832" t="s">
        <v>1213</v>
      </c>
      <c r="B7" s="832"/>
      <c r="C7" s="828"/>
      <c r="D7" s="828"/>
      <c r="E7" s="828"/>
      <c r="F7" s="829"/>
      <c r="G7" s="49"/>
      <c r="H7" s="743"/>
      <c r="I7" s="743"/>
      <c r="J7" s="743"/>
      <c r="K7" s="743"/>
      <c r="L7" s="743"/>
      <c r="M7" s="74"/>
    </row>
    <row r="8" spans="1:13" ht="16.5" customHeight="1">
      <c r="A8" s="833"/>
      <c r="B8" s="833"/>
      <c r="C8" s="1789" t="s">
        <v>1214</v>
      </c>
      <c r="D8" s="1789"/>
      <c r="E8" s="1789"/>
      <c r="F8" s="1789"/>
      <c r="G8" s="1789"/>
      <c r="H8" s="1789"/>
      <c r="I8" s="1789"/>
      <c r="M8" s="74"/>
    </row>
    <row r="9" spans="1:13" ht="50.25" customHeight="1">
      <c r="A9" s="834"/>
      <c r="B9" s="834"/>
      <c r="C9" s="1790" t="s">
        <v>1215</v>
      </c>
      <c r="D9" s="1790"/>
      <c r="E9" s="1790"/>
      <c r="F9" s="1790"/>
      <c r="G9" s="1790"/>
      <c r="H9" s="1790"/>
      <c r="I9" s="1790"/>
      <c r="M9" s="74"/>
    </row>
    <row r="10" spans="1:13" ht="25.5" customHeight="1">
      <c r="A10" s="834"/>
      <c r="B10" s="834"/>
      <c r="C10" s="1790" t="s">
        <v>1216</v>
      </c>
      <c r="D10" s="1790"/>
      <c r="E10" s="1790"/>
      <c r="F10" s="1790"/>
      <c r="G10" s="1790"/>
      <c r="H10" s="1790"/>
      <c r="I10" s="1790"/>
      <c r="M10" s="74"/>
    </row>
    <row r="11" spans="1:13" ht="30" customHeight="1">
      <c r="A11" s="834"/>
      <c r="B11" s="834"/>
      <c r="C11" s="1784" t="s">
        <v>1217</v>
      </c>
      <c r="D11" s="1784"/>
      <c r="E11" s="1784"/>
      <c r="F11" s="1784"/>
      <c r="G11" s="1784"/>
      <c r="H11" s="1784"/>
      <c r="I11" s="1784"/>
      <c r="M11" s="74"/>
    </row>
    <row r="12" spans="1:13" ht="18" customHeight="1">
      <c r="A12" s="1794"/>
      <c r="B12" s="1795"/>
      <c r="C12" s="1808" t="s">
        <v>1218</v>
      </c>
      <c r="D12" s="1810" t="s">
        <v>1172</v>
      </c>
      <c r="E12" s="1812" t="s">
        <v>1045</v>
      </c>
      <c r="F12" s="1814" t="s">
        <v>1219</v>
      </c>
      <c r="G12" s="1815"/>
      <c r="H12" s="1815"/>
      <c r="I12" s="1816"/>
      <c r="M12" s="74"/>
    </row>
    <row r="13" spans="1:13" ht="18" customHeight="1" thickBot="1">
      <c r="A13" s="1796"/>
      <c r="B13" s="1797"/>
      <c r="C13" s="1809"/>
      <c r="D13" s="1811"/>
      <c r="E13" s="1813"/>
      <c r="F13" s="1806" t="s">
        <v>1220</v>
      </c>
      <c r="G13" s="1807"/>
      <c r="H13" s="835" t="s">
        <v>1221</v>
      </c>
      <c r="I13" s="836" t="s">
        <v>1222</v>
      </c>
      <c r="M13" s="74"/>
    </row>
    <row r="14" spans="1:13" ht="27" customHeight="1" thickBot="1">
      <c r="A14" s="441">
        <v>1</v>
      </c>
      <c r="B14" s="837" t="s">
        <v>1223</v>
      </c>
      <c r="C14" s="103" t="s">
        <v>269</v>
      </c>
      <c r="D14" s="43" t="s">
        <v>1884</v>
      </c>
      <c r="E14" s="45" t="s">
        <v>1932</v>
      </c>
      <c r="F14" s="1802" t="s">
        <v>1933</v>
      </c>
      <c r="G14" s="1803"/>
      <c r="H14" s="107" t="s">
        <v>1934</v>
      </c>
      <c r="I14" s="1235">
        <v>45508</v>
      </c>
      <c r="J14" s="330"/>
      <c r="K14" s="49" t="str">
        <f>IF(AND(H6="はい",OR(C14="",D14="",E14="",F14="",H14="",I14="")),"×","○")</f>
        <v>○</v>
      </c>
      <c r="M14" s="74"/>
    </row>
    <row r="15" spans="1:13" ht="27" customHeight="1" thickBot="1">
      <c r="A15" s="441">
        <v>2</v>
      </c>
      <c r="B15" s="1799"/>
      <c r="C15" s="103" t="s">
        <v>1056</v>
      </c>
      <c r="D15" s="43" t="s">
        <v>1884</v>
      </c>
      <c r="E15" s="45" t="s">
        <v>1935</v>
      </c>
      <c r="F15" s="1802" t="s">
        <v>1936</v>
      </c>
      <c r="G15" s="1803"/>
      <c r="H15" s="107" t="s">
        <v>1937</v>
      </c>
      <c r="I15" s="1235">
        <v>45508</v>
      </c>
      <c r="M15" s="74"/>
    </row>
    <row r="16" spans="1:13" ht="27" customHeight="1" thickBot="1">
      <c r="A16" s="441">
        <v>3</v>
      </c>
      <c r="B16" s="1800"/>
      <c r="C16" s="103" t="s">
        <v>1938</v>
      </c>
      <c r="D16" s="43" t="s">
        <v>1884</v>
      </c>
      <c r="E16" s="45" t="s">
        <v>1932</v>
      </c>
      <c r="F16" s="1802" t="s">
        <v>1939</v>
      </c>
      <c r="G16" s="1803"/>
      <c r="H16" s="107" t="s">
        <v>1940</v>
      </c>
      <c r="I16" s="109" t="s">
        <v>1941</v>
      </c>
      <c r="M16" s="74"/>
    </row>
    <row r="17" spans="1:13" ht="27" customHeight="1" thickBot="1">
      <c r="A17" s="441">
        <v>4</v>
      </c>
      <c r="B17" s="1800"/>
      <c r="C17" s="103" t="s">
        <v>1054</v>
      </c>
      <c r="D17" s="43" t="s">
        <v>1884</v>
      </c>
      <c r="E17" s="45" t="s">
        <v>1932</v>
      </c>
      <c r="F17" s="1802" t="s">
        <v>1942</v>
      </c>
      <c r="G17" s="1803"/>
      <c r="H17" s="107" t="s">
        <v>1943</v>
      </c>
      <c r="I17" s="1235">
        <v>45457</v>
      </c>
      <c r="M17" s="74"/>
    </row>
    <row r="18" spans="1:13" ht="27" customHeight="1" thickBot="1">
      <c r="A18" s="441">
        <v>5</v>
      </c>
      <c r="B18" s="1800"/>
      <c r="C18" s="103" t="s">
        <v>1054</v>
      </c>
      <c r="D18" s="43" t="s">
        <v>1884</v>
      </c>
      <c r="E18" s="45" t="s">
        <v>1932</v>
      </c>
      <c r="F18" s="1802" t="s">
        <v>1944</v>
      </c>
      <c r="G18" s="1803"/>
      <c r="H18" s="107" t="s">
        <v>1945</v>
      </c>
      <c r="I18" s="1235">
        <v>44897</v>
      </c>
      <c r="M18" s="74"/>
    </row>
    <row r="19" spans="1:13" ht="27" customHeight="1" thickBot="1">
      <c r="A19" s="441">
        <v>6</v>
      </c>
      <c r="B19" s="1800"/>
      <c r="C19" s="103" t="s">
        <v>1054</v>
      </c>
      <c r="D19" s="43" t="s">
        <v>1884</v>
      </c>
      <c r="E19" s="45" t="s">
        <v>1932</v>
      </c>
      <c r="F19" s="1802" t="s">
        <v>1946</v>
      </c>
      <c r="G19" s="1803"/>
      <c r="H19" s="107" t="s">
        <v>1937</v>
      </c>
      <c r="I19" s="1235">
        <v>44843</v>
      </c>
      <c r="M19" s="74"/>
    </row>
    <row r="20" spans="1:13" ht="27" customHeight="1" thickBot="1">
      <c r="A20" s="441">
        <v>7</v>
      </c>
      <c r="B20" s="1800"/>
      <c r="C20" s="103"/>
      <c r="D20" s="43"/>
      <c r="E20" s="45"/>
      <c r="F20" s="1802"/>
      <c r="G20" s="1803"/>
      <c r="H20" s="107"/>
      <c r="I20" s="109"/>
      <c r="M20" s="74"/>
    </row>
    <row r="21" spans="1:13" ht="27" customHeight="1" thickBot="1">
      <c r="A21" s="441">
        <v>8</v>
      </c>
      <c r="B21" s="1800"/>
      <c r="C21" s="103"/>
      <c r="D21" s="43"/>
      <c r="E21" s="45"/>
      <c r="F21" s="1802"/>
      <c r="G21" s="1803"/>
      <c r="H21" s="107"/>
      <c r="I21" s="109"/>
      <c r="M21" s="74"/>
    </row>
    <row r="22" spans="1:13" ht="27" customHeight="1" thickBot="1">
      <c r="A22" s="441">
        <v>9</v>
      </c>
      <c r="B22" s="1800"/>
      <c r="C22" s="103"/>
      <c r="D22" s="43"/>
      <c r="E22" s="45"/>
      <c r="F22" s="1802"/>
      <c r="G22" s="1803"/>
      <c r="H22" s="107"/>
      <c r="I22" s="109"/>
      <c r="M22" s="74"/>
    </row>
    <row r="23" spans="1:13" ht="27" customHeight="1" thickBot="1">
      <c r="A23" s="441">
        <v>10</v>
      </c>
      <c r="B23" s="1801"/>
      <c r="C23" s="103"/>
      <c r="D23" s="43"/>
      <c r="E23" s="45"/>
      <c r="F23" s="1802"/>
      <c r="G23" s="1803"/>
      <c r="H23" s="107"/>
      <c r="I23" s="109"/>
      <c r="M23" s="74"/>
    </row>
    <row r="24" spans="1:13" ht="20.100000000000001" customHeight="1">
      <c r="A24" s="49"/>
      <c r="B24" s="49"/>
      <c r="C24" s="49"/>
      <c r="D24" s="49"/>
      <c r="E24" s="49"/>
      <c r="F24" s="49"/>
      <c r="G24" s="49"/>
      <c r="H24" s="49"/>
      <c r="I24" s="49"/>
      <c r="J24" s="446" t="s">
        <v>935</v>
      </c>
      <c r="L24" s="446"/>
      <c r="M24" s="154"/>
    </row>
    <row r="25" spans="1:13">
      <c r="A25" s="49"/>
      <c r="B25" s="49"/>
      <c r="C25" s="49"/>
      <c r="D25" s="49"/>
      <c r="E25" s="49"/>
      <c r="F25" s="51"/>
      <c r="G25" s="49"/>
      <c r="H25" s="49"/>
      <c r="I25" s="49"/>
      <c r="M25" s="74"/>
    </row>
    <row r="26" spans="1:13" ht="42.75" customHeight="1">
      <c r="A26" s="1826" t="s">
        <v>1224</v>
      </c>
      <c r="B26" s="1827"/>
      <c r="C26" s="1827"/>
      <c r="D26" s="1827"/>
      <c r="E26" s="1827"/>
      <c r="F26" s="1827"/>
      <c r="G26" s="1827"/>
      <c r="H26" s="1827"/>
      <c r="I26" s="49"/>
      <c r="L26" s="838"/>
      <c r="M26" s="176"/>
    </row>
    <row r="27" spans="1:13">
      <c r="A27" s="49"/>
      <c r="B27" s="49"/>
      <c r="C27" s="49"/>
      <c r="D27" s="49"/>
      <c r="E27" s="49"/>
      <c r="F27" s="49"/>
      <c r="G27" s="49"/>
      <c r="H27" s="49"/>
      <c r="I27" s="49"/>
      <c r="L27" s="838"/>
      <c r="M27" s="74"/>
    </row>
    <row r="28" spans="1:13">
      <c r="A28" s="1798"/>
      <c r="B28" s="1798" t="s">
        <v>1225</v>
      </c>
      <c r="C28" s="1798"/>
      <c r="D28" s="1798"/>
      <c r="E28" s="1798"/>
      <c r="F28" s="1798" t="s">
        <v>1226</v>
      </c>
      <c r="G28" s="1798"/>
      <c r="H28" s="1798"/>
      <c r="I28" s="1804" t="s">
        <v>1227</v>
      </c>
      <c r="J28" s="839"/>
      <c r="L28" s="838"/>
      <c r="M28" s="74"/>
    </row>
    <row r="29" spans="1:13">
      <c r="A29" s="1798"/>
      <c r="B29" s="1798"/>
      <c r="C29" s="1798"/>
      <c r="D29" s="1798"/>
      <c r="E29" s="1798"/>
      <c r="F29" s="1798"/>
      <c r="G29" s="1798"/>
      <c r="H29" s="1798"/>
      <c r="I29" s="1805"/>
      <c r="J29" s="839"/>
      <c r="L29" s="838"/>
      <c r="M29" s="74"/>
    </row>
    <row r="30" spans="1:13" ht="33" customHeight="1">
      <c r="A30" s="57" t="s">
        <v>761</v>
      </c>
      <c r="B30" s="1792" t="s">
        <v>1228</v>
      </c>
      <c r="C30" s="1793"/>
      <c r="D30" s="1793"/>
      <c r="E30" s="1793"/>
      <c r="F30" s="1825" t="s">
        <v>1229</v>
      </c>
      <c r="G30" s="1823"/>
      <c r="H30" s="1824"/>
      <c r="I30" s="840" t="s">
        <v>1230</v>
      </c>
      <c r="J30" s="839"/>
      <c r="L30" s="838"/>
      <c r="M30" s="74"/>
    </row>
    <row r="31" spans="1:13" ht="33" customHeight="1">
      <c r="A31" s="57" t="s">
        <v>761</v>
      </c>
      <c r="B31" s="1822" t="s">
        <v>1231</v>
      </c>
      <c r="C31" s="1823"/>
      <c r="D31" s="1823"/>
      <c r="E31" s="1824"/>
      <c r="F31" s="1825" t="s">
        <v>1232</v>
      </c>
      <c r="G31" s="1823"/>
      <c r="H31" s="1824"/>
      <c r="I31" s="840" t="s">
        <v>1233</v>
      </c>
      <c r="J31" s="839"/>
      <c r="L31" s="838"/>
      <c r="M31" s="74"/>
    </row>
    <row r="32" spans="1:13" ht="33" customHeight="1">
      <c r="A32" s="57" t="s">
        <v>761</v>
      </c>
      <c r="B32" s="1792" t="s">
        <v>1234</v>
      </c>
      <c r="C32" s="1793"/>
      <c r="D32" s="1793"/>
      <c r="E32" s="1793"/>
      <c r="F32" s="1825" t="s">
        <v>1235</v>
      </c>
      <c r="G32" s="1823"/>
      <c r="H32" s="1824"/>
      <c r="I32" s="840" t="s">
        <v>1233</v>
      </c>
      <c r="J32" s="839"/>
      <c r="L32" s="838"/>
      <c r="M32" s="74"/>
    </row>
    <row r="33" spans="1:13" ht="33" customHeight="1">
      <c r="A33" s="841">
        <v>1</v>
      </c>
      <c r="B33" s="1817" t="s">
        <v>1947</v>
      </c>
      <c r="C33" s="1818"/>
      <c r="D33" s="1818"/>
      <c r="E33" s="1819"/>
      <c r="F33" s="1821">
        <v>44707</v>
      </c>
      <c r="G33" s="1820"/>
      <c r="H33" s="1820"/>
      <c r="I33" s="1236">
        <v>46763</v>
      </c>
      <c r="J33" s="839"/>
      <c r="K33" s="49" t="str">
        <f>IF(AND(B33&lt;&gt;"",F33&lt;&gt;"",I33&lt;&gt;""),"○","×")</f>
        <v>○</v>
      </c>
      <c r="L33" s="838"/>
      <c r="M33" s="163"/>
    </row>
    <row r="34" spans="1:13" ht="33" customHeight="1">
      <c r="A34" s="841">
        <v>2</v>
      </c>
      <c r="B34" s="1817" t="s">
        <v>1948</v>
      </c>
      <c r="C34" s="1818"/>
      <c r="D34" s="1818"/>
      <c r="E34" s="1819"/>
      <c r="F34" s="1821">
        <v>45352</v>
      </c>
      <c r="G34" s="1820"/>
      <c r="H34" s="1820"/>
      <c r="I34" s="1236">
        <v>46081</v>
      </c>
      <c r="J34" s="839"/>
      <c r="K34" s="51"/>
      <c r="L34" s="838"/>
      <c r="M34" s="74"/>
    </row>
    <row r="35" spans="1:13" ht="33" customHeight="1">
      <c r="A35" s="841">
        <v>3</v>
      </c>
      <c r="B35" s="1817"/>
      <c r="C35" s="1818"/>
      <c r="D35" s="1818"/>
      <c r="E35" s="1819"/>
      <c r="F35" s="1820"/>
      <c r="G35" s="1820"/>
      <c r="H35" s="1820"/>
      <c r="I35" s="108"/>
      <c r="J35" s="839"/>
      <c r="K35" s="51"/>
      <c r="L35" s="838"/>
      <c r="M35" s="74"/>
    </row>
    <row r="36" spans="1:13" ht="33" customHeight="1">
      <c r="A36" s="841">
        <v>4</v>
      </c>
      <c r="B36" s="1817"/>
      <c r="C36" s="1818"/>
      <c r="D36" s="1818"/>
      <c r="E36" s="1819"/>
      <c r="F36" s="1820"/>
      <c r="G36" s="1820"/>
      <c r="H36" s="1820"/>
      <c r="I36" s="108"/>
      <c r="J36" s="839"/>
      <c r="K36" s="51"/>
      <c r="L36" s="838"/>
      <c r="M36" s="74"/>
    </row>
    <row r="37" spans="1:13" ht="33" customHeight="1">
      <c r="A37" s="841">
        <v>5</v>
      </c>
      <c r="B37" s="1817"/>
      <c r="C37" s="1818"/>
      <c r="D37" s="1818"/>
      <c r="E37" s="1819"/>
      <c r="F37" s="1820"/>
      <c r="G37" s="1820"/>
      <c r="H37" s="1820"/>
      <c r="I37" s="108"/>
      <c r="J37" s="839"/>
      <c r="K37" s="51"/>
      <c r="L37" s="838"/>
      <c r="M37" s="151"/>
    </row>
  </sheetData>
  <sheetProtection selectLockedCells="1"/>
  <mergeCells count="46">
    <mergeCell ref="F32:H32"/>
    <mergeCell ref="F23:G23"/>
    <mergeCell ref="F16:G16"/>
    <mergeCell ref="F19:G19"/>
    <mergeCell ref="F20:G20"/>
    <mergeCell ref="F21:G21"/>
    <mergeCell ref="F22:G22"/>
    <mergeCell ref="A26:H26"/>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C11:I11"/>
    <mergeCell ref="A1:I1"/>
    <mergeCell ref="A2:H2"/>
    <mergeCell ref="G4:I4"/>
    <mergeCell ref="C8:I8"/>
    <mergeCell ref="C9:I9"/>
  </mergeCells>
  <phoneticPr fontId="9"/>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topLeftCell="A30" zoomScaleNormal="100" zoomScaleSheetLayoutView="100" workbookViewId="0">
      <selection activeCell="M19" sqref="M19"/>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853" t="s">
        <v>1237</v>
      </c>
      <c r="B1" s="1853"/>
      <c r="C1" s="1853"/>
      <c r="D1" s="1853"/>
      <c r="E1" s="1853"/>
      <c r="F1" s="1853"/>
      <c r="G1" s="1853"/>
      <c r="H1" s="1853"/>
      <c r="I1" s="1853"/>
      <c r="J1" s="1853"/>
    </row>
    <row r="2" spans="1:21" ht="24.95" customHeight="1" thickBot="1">
      <c r="B2" s="1324" t="s">
        <v>1238</v>
      </c>
      <c r="C2" s="1324"/>
      <c r="D2" s="1324"/>
      <c r="E2" s="1324"/>
      <c r="F2" s="1324"/>
      <c r="G2" s="1324"/>
      <c r="H2" s="1324"/>
      <c r="I2" s="847" t="str">
        <f>IF(COUNTIF(K32:K36,"×")=0,"入力済","未入力あり")</f>
        <v>入力済</v>
      </c>
      <c r="M2" s="177" t="s">
        <v>234</v>
      </c>
    </row>
    <row r="3" spans="1:21" ht="24.95" customHeight="1">
      <c r="B3" s="1854"/>
      <c r="C3" s="1854"/>
      <c r="D3" s="1854"/>
      <c r="E3" s="1854"/>
      <c r="F3" s="1854"/>
      <c r="G3" s="1854"/>
      <c r="H3" s="1854"/>
      <c r="I3" s="426"/>
      <c r="M3" s="74"/>
    </row>
    <row r="4" spans="1:21" ht="24.95" customHeight="1">
      <c r="G4" s="846" t="s">
        <v>757</v>
      </c>
      <c r="H4" s="1325" t="str">
        <f>表紙!E2</f>
        <v>パナソニック健康保険組合　松下記念病院</v>
      </c>
      <c r="I4" s="1326"/>
      <c r="M4" s="74"/>
    </row>
    <row r="5" spans="1:21" ht="20.100000000000001" customHeight="1">
      <c r="G5" s="1145" t="s">
        <v>911</v>
      </c>
      <c r="H5" t="str">
        <f>別紙1未充足要件!E5</f>
        <v>令和６年９月１日時点</v>
      </c>
      <c r="M5" s="154"/>
    </row>
    <row r="6" spans="1:21" ht="11.25" customHeight="1">
      <c r="G6" s="568"/>
      <c r="M6" s="74"/>
    </row>
    <row r="7" spans="1:21" ht="9.9499999999999993" customHeight="1">
      <c r="G7" s="568"/>
      <c r="M7" s="74"/>
    </row>
    <row r="8" spans="1:21" ht="20.100000000000001" customHeight="1">
      <c r="A8" s="1855" t="s">
        <v>1239</v>
      </c>
      <c r="B8" s="1855"/>
      <c r="C8" s="1855"/>
      <c r="D8" s="1855"/>
      <c r="E8" s="1855"/>
      <c r="F8" s="1855"/>
      <c r="G8" s="1855"/>
      <c r="H8" s="1855"/>
      <c r="I8" s="1855"/>
      <c r="J8" s="1855"/>
      <c r="M8" s="154"/>
    </row>
    <row r="9" spans="1:21" ht="20.100000000000001" customHeight="1">
      <c r="A9" s="1855" t="s">
        <v>1240</v>
      </c>
      <c r="B9" s="1855"/>
      <c r="C9" s="1855"/>
      <c r="D9" s="1855"/>
      <c r="E9" s="1855"/>
      <c r="F9" s="1855"/>
      <c r="G9" s="1855"/>
      <c r="H9" s="1855"/>
      <c r="I9" s="1855"/>
      <c r="J9" s="1855"/>
      <c r="M9" s="74"/>
    </row>
    <row r="10" spans="1:21" ht="20.100000000000001" customHeight="1">
      <c r="A10" s="1"/>
      <c r="B10" s="1"/>
      <c r="C10" s="1"/>
      <c r="D10" s="1"/>
      <c r="E10" s="1"/>
      <c r="F10" s="1"/>
      <c r="G10" s="1"/>
      <c r="H10" s="1"/>
      <c r="I10" s="1"/>
      <c r="J10" s="1"/>
      <c r="M10" s="74"/>
    </row>
    <row r="11" spans="1:21" s="547" customFormat="1" ht="25.5" customHeight="1">
      <c r="A11" s="1856" t="s">
        <v>1241</v>
      </c>
      <c r="B11" s="1856"/>
      <c r="C11" s="1856"/>
      <c r="D11" s="1856"/>
      <c r="E11" s="1856"/>
      <c r="F11" s="1856"/>
      <c r="G11" s="1856"/>
      <c r="H11" s="1856"/>
      <c r="I11" s="1856"/>
      <c r="J11" s="1856"/>
      <c r="K11" s="848"/>
      <c r="L11" s="848"/>
      <c r="M11" s="74"/>
      <c r="N11" s="848"/>
      <c r="O11" s="848"/>
      <c r="P11" s="848"/>
      <c r="Q11" s="848"/>
      <c r="R11" s="848"/>
      <c r="S11" s="848"/>
      <c r="T11" s="848"/>
      <c r="U11" s="848"/>
    </row>
    <row r="12" spans="1:21" s="547" customFormat="1" ht="18" customHeight="1">
      <c r="A12" s="849"/>
      <c r="B12" s="849" t="s">
        <v>1242</v>
      </c>
      <c r="C12" s="849"/>
      <c r="D12" s="849"/>
      <c r="E12" s="849"/>
      <c r="F12" s="849"/>
      <c r="G12" s="849"/>
      <c r="H12" s="849"/>
      <c r="I12" s="849"/>
      <c r="J12" s="849"/>
      <c r="K12" s="848"/>
      <c r="L12" s="848"/>
      <c r="M12" s="74"/>
      <c r="N12" s="848"/>
      <c r="O12" s="848"/>
      <c r="P12" s="848"/>
      <c r="Q12" s="848"/>
      <c r="R12" s="848"/>
      <c r="S12" s="848"/>
      <c r="T12" s="848"/>
      <c r="U12" s="848"/>
    </row>
    <row r="13" spans="1:21" s="547" customFormat="1" ht="18" customHeight="1">
      <c r="B13" s="1855" t="s">
        <v>1243</v>
      </c>
      <c r="C13" s="1855"/>
      <c r="D13" s="1855"/>
      <c r="E13" s="1855"/>
      <c r="F13" s="1855"/>
      <c r="G13" s="1855"/>
      <c r="H13" s="1855"/>
      <c r="I13" s="1855"/>
      <c r="J13" s="1855"/>
      <c r="K13" s="848"/>
      <c r="L13" s="848"/>
      <c r="M13" s="74"/>
      <c r="N13" s="848"/>
      <c r="O13" s="848"/>
      <c r="P13" s="848"/>
      <c r="Q13" s="848"/>
      <c r="R13" s="848"/>
      <c r="S13" s="848"/>
      <c r="T13" s="848"/>
      <c r="U13" s="848"/>
    </row>
    <row r="14" spans="1:21" s="547" customFormat="1" ht="5.25" customHeight="1">
      <c r="B14" s="1"/>
      <c r="C14" s="1"/>
      <c r="D14" s="1"/>
      <c r="E14" s="1"/>
      <c r="F14" s="1"/>
      <c r="G14" s="1"/>
      <c r="H14" s="1"/>
      <c r="I14" s="1"/>
      <c r="J14" s="1"/>
      <c r="K14" s="848"/>
      <c r="L14" s="848"/>
      <c r="M14" s="74"/>
      <c r="N14" s="848"/>
      <c r="O14" s="848"/>
      <c r="P14" s="848"/>
      <c r="Q14" s="848"/>
      <c r="R14" s="848"/>
      <c r="S14" s="848"/>
      <c r="T14" s="848"/>
      <c r="U14" s="848"/>
    </row>
    <row r="15" spans="1:21" s="547" customFormat="1" ht="27.95" customHeight="1">
      <c r="B15" s="842"/>
      <c r="C15" s="843" t="s">
        <v>1218</v>
      </c>
      <c r="D15" s="850" t="s">
        <v>1236</v>
      </c>
      <c r="E15" s="1857" t="s">
        <v>1244</v>
      </c>
      <c r="F15" s="1858"/>
      <c r="G15" s="1858"/>
      <c r="H15" s="1858"/>
      <c r="I15" s="1859"/>
      <c r="K15" s="851"/>
      <c r="L15" s="848"/>
      <c r="M15" s="74"/>
      <c r="N15" s="848"/>
      <c r="O15" s="848"/>
      <c r="P15" s="848"/>
      <c r="Q15" s="848"/>
      <c r="R15" s="848"/>
      <c r="S15" s="848"/>
      <c r="T15" s="848"/>
      <c r="U15" s="848"/>
    </row>
    <row r="16" spans="1:21" s="547" customFormat="1" ht="27.95" customHeight="1">
      <c r="B16" s="844" t="s">
        <v>761</v>
      </c>
      <c r="C16" s="852" t="s">
        <v>1245</v>
      </c>
      <c r="D16" s="853">
        <v>2</v>
      </c>
      <c r="E16" s="1860" t="s">
        <v>1246</v>
      </c>
      <c r="F16" s="1861"/>
      <c r="G16" s="1861"/>
      <c r="H16" s="1861"/>
      <c r="I16" s="1862"/>
      <c r="K16" s="848"/>
      <c r="L16" s="848"/>
      <c r="M16" s="74"/>
      <c r="N16" s="848"/>
      <c r="O16" s="848"/>
      <c r="P16" s="848"/>
      <c r="Q16" s="848"/>
      <c r="R16" s="848"/>
      <c r="S16" s="848"/>
      <c r="T16" s="848"/>
      <c r="U16" s="848"/>
    </row>
    <row r="17" spans="1:21" s="547" customFormat="1" ht="27.95" customHeight="1">
      <c r="B17" s="844">
        <v>1</v>
      </c>
      <c r="C17" s="96"/>
      <c r="D17" s="845"/>
      <c r="E17" s="1863"/>
      <c r="F17" s="1848"/>
      <c r="G17" s="1848"/>
      <c r="H17" s="1848"/>
      <c r="I17" s="1849"/>
      <c r="K17" s="848"/>
      <c r="L17" s="848"/>
      <c r="M17" s="74"/>
      <c r="N17" s="372">
        <v>0</v>
      </c>
      <c r="O17" s="373">
        <v>20</v>
      </c>
      <c r="P17" s="848"/>
      <c r="Q17" s="848"/>
      <c r="R17" s="848"/>
      <c r="S17" s="848"/>
      <c r="T17" s="848"/>
      <c r="U17" s="848"/>
    </row>
    <row r="18" spans="1:21" s="547" customFormat="1" ht="27.95" customHeight="1">
      <c r="B18" s="844">
        <v>2</v>
      </c>
      <c r="C18" s="86"/>
      <c r="D18" s="845"/>
      <c r="E18" s="1850"/>
      <c r="F18" s="1851"/>
      <c r="G18" s="1851"/>
      <c r="H18" s="1851"/>
      <c r="I18" s="1852"/>
      <c r="K18" s="848"/>
      <c r="L18" s="848"/>
      <c r="M18" s="74"/>
      <c r="N18" s="372">
        <v>0</v>
      </c>
      <c r="O18" s="373">
        <v>20</v>
      </c>
      <c r="P18" s="848"/>
      <c r="Q18" s="848"/>
      <c r="R18" s="848"/>
      <c r="S18" s="848"/>
      <c r="T18" s="848"/>
      <c r="U18" s="848"/>
    </row>
    <row r="19" spans="1:21" s="547" customFormat="1" ht="27.95" customHeight="1">
      <c r="B19" s="854">
        <v>3</v>
      </c>
      <c r="C19" s="86"/>
      <c r="D19" s="845"/>
      <c r="E19" s="1847"/>
      <c r="F19" s="1848"/>
      <c r="G19" s="1848"/>
      <c r="H19" s="1848"/>
      <c r="I19" s="1849"/>
      <c r="K19" s="851"/>
      <c r="L19" s="848"/>
      <c r="M19" s="74"/>
      <c r="N19" s="372">
        <v>0</v>
      </c>
      <c r="O19" s="373">
        <v>20</v>
      </c>
      <c r="P19" s="848"/>
      <c r="Q19" s="848"/>
      <c r="R19" s="848"/>
      <c r="S19" s="848"/>
      <c r="T19" s="848"/>
      <c r="U19" s="848"/>
    </row>
    <row r="20" spans="1:21" s="547" customFormat="1" ht="27.95" customHeight="1">
      <c r="B20" s="844">
        <v>4</v>
      </c>
      <c r="C20" s="86"/>
      <c r="D20" s="845"/>
      <c r="E20" s="1847"/>
      <c r="F20" s="1848"/>
      <c r="G20" s="1848"/>
      <c r="H20" s="1848"/>
      <c r="I20" s="1849"/>
      <c r="K20" s="848"/>
      <c r="L20" s="848"/>
      <c r="M20" s="74"/>
      <c r="N20" s="372">
        <v>0</v>
      </c>
      <c r="O20" s="373">
        <v>20</v>
      </c>
      <c r="P20" s="848"/>
      <c r="Q20" s="848"/>
      <c r="R20" s="848"/>
      <c r="S20" s="848"/>
      <c r="T20" s="848"/>
      <c r="U20" s="848"/>
    </row>
    <row r="21" spans="1:21" s="547" customFormat="1" ht="27.95" customHeight="1">
      <c r="B21" s="844">
        <v>5</v>
      </c>
      <c r="C21" s="86"/>
      <c r="D21" s="845"/>
      <c r="E21" s="1847"/>
      <c r="F21" s="1848"/>
      <c r="G21" s="1848"/>
      <c r="H21" s="1848"/>
      <c r="I21" s="1849"/>
      <c r="K21" s="848"/>
      <c r="L21" s="848"/>
      <c r="M21" s="74"/>
      <c r="N21" s="372">
        <v>0</v>
      </c>
      <c r="O21" s="373">
        <v>20</v>
      </c>
      <c r="P21" s="848"/>
      <c r="Q21" s="848"/>
      <c r="R21" s="848"/>
      <c r="S21" s="848"/>
      <c r="T21" s="848"/>
      <c r="U21" s="848"/>
    </row>
    <row r="22" spans="1:21" s="547" customFormat="1" ht="27.95" customHeight="1">
      <c r="B22" s="844">
        <v>6</v>
      </c>
      <c r="C22" s="86"/>
      <c r="D22" s="845"/>
      <c r="E22" s="1847"/>
      <c r="F22" s="1848"/>
      <c r="G22" s="1848"/>
      <c r="H22" s="1848"/>
      <c r="I22" s="1849"/>
      <c r="K22" s="848"/>
      <c r="L22" s="848"/>
      <c r="M22" s="74"/>
      <c r="N22" s="372">
        <v>0</v>
      </c>
      <c r="O22" s="373">
        <v>20</v>
      </c>
      <c r="P22" s="848"/>
      <c r="Q22" s="848"/>
      <c r="R22" s="848"/>
      <c r="S22" s="848"/>
      <c r="T22" s="848"/>
      <c r="U22" s="848"/>
    </row>
    <row r="23" spans="1:21" s="547" customFormat="1" ht="27.95" customHeight="1">
      <c r="B23" s="844">
        <v>7</v>
      </c>
      <c r="C23" s="86"/>
      <c r="D23" s="845"/>
      <c r="E23" s="1847"/>
      <c r="F23" s="1848"/>
      <c r="G23" s="1848"/>
      <c r="H23" s="1848"/>
      <c r="I23" s="1849"/>
      <c r="K23" s="851"/>
      <c r="L23" s="848"/>
      <c r="M23" s="74"/>
      <c r="N23" s="372">
        <v>0</v>
      </c>
      <c r="O23" s="373">
        <v>20</v>
      </c>
      <c r="P23" s="848"/>
      <c r="Q23" s="848"/>
      <c r="R23" s="848"/>
      <c r="S23" s="848"/>
      <c r="T23" s="848"/>
      <c r="U23" s="848"/>
    </row>
    <row r="24" spans="1:21" s="547" customFormat="1" ht="27.95" customHeight="1">
      <c r="B24" s="844">
        <v>8</v>
      </c>
      <c r="C24" s="86"/>
      <c r="D24" s="845"/>
      <c r="E24" s="1847"/>
      <c r="F24" s="1848"/>
      <c r="G24" s="1848"/>
      <c r="H24" s="1848"/>
      <c r="I24" s="1849"/>
      <c r="K24" s="848"/>
      <c r="L24" s="848"/>
      <c r="M24" s="74"/>
      <c r="N24" s="372">
        <v>0</v>
      </c>
      <c r="O24" s="373">
        <v>20</v>
      </c>
      <c r="P24" s="848"/>
      <c r="Q24" s="848"/>
      <c r="R24" s="848"/>
      <c r="S24" s="848"/>
      <c r="T24" s="848"/>
      <c r="U24" s="848"/>
    </row>
    <row r="25" spans="1:21" s="547" customFormat="1" ht="27.95" customHeight="1">
      <c r="B25" s="844">
        <v>9</v>
      </c>
      <c r="C25" s="86"/>
      <c r="D25" s="845"/>
      <c r="E25" s="1847"/>
      <c r="F25" s="1848"/>
      <c r="G25" s="1848"/>
      <c r="H25" s="1848"/>
      <c r="I25" s="1849"/>
      <c r="K25" s="848"/>
      <c r="L25" s="848"/>
      <c r="M25" s="74"/>
      <c r="N25" s="372">
        <v>0</v>
      </c>
      <c r="O25" s="373">
        <v>20</v>
      </c>
      <c r="P25" s="848"/>
      <c r="Q25" s="848"/>
      <c r="R25" s="848"/>
      <c r="S25" s="848"/>
      <c r="T25" s="848"/>
      <c r="U25" s="848"/>
    </row>
    <row r="26" spans="1:21" s="547" customFormat="1" ht="27.95" customHeight="1">
      <c r="B26" s="844">
        <v>10</v>
      </c>
      <c r="C26" s="86"/>
      <c r="D26" s="845"/>
      <c r="E26" s="1847"/>
      <c r="F26" s="1848"/>
      <c r="G26" s="1848"/>
      <c r="H26" s="1848"/>
      <c r="I26" s="1849"/>
      <c r="K26" s="848"/>
      <c r="L26" s="848"/>
      <c r="M26" s="74"/>
      <c r="N26" s="372">
        <v>0</v>
      </c>
      <c r="O26" s="373">
        <v>20</v>
      </c>
      <c r="P26" s="848"/>
      <c r="Q26" s="848"/>
      <c r="R26" s="848"/>
      <c r="S26" s="848"/>
      <c r="T26" s="848"/>
      <c r="U26" s="848"/>
    </row>
    <row r="27" spans="1:21" s="547" customFormat="1" ht="27.95" customHeight="1">
      <c r="B27" s="844">
        <v>11</v>
      </c>
      <c r="C27" s="86"/>
      <c r="D27" s="845"/>
      <c r="E27" s="1847"/>
      <c r="F27" s="1848"/>
      <c r="G27" s="1848"/>
      <c r="H27" s="1848"/>
      <c r="I27" s="1849"/>
      <c r="K27" s="851"/>
      <c r="L27" s="848"/>
      <c r="M27" s="74"/>
      <c r="N27" s="372">
        <v>0</v>
      </c>
      <c r="O27" s="373">
        <v>20</v>
      </c>
      <c r="P27" s="848"/>
      <c r="Q27" s="848"/>
      <c r="R27" s="848"/>
      <c r="S27" s="848"/>
      <c r="T27" s="848"/>
      <c r="U27" s="848"/>
    </row>
    <row r="28" spans="1:21" s="547" customFormat="1" ht="27.95" customHeight="1">
      <c r="B28" s="844">
        <v>12</v>
      </c>
      <c r="C28" s="86"/>
      <c r="D28" s="845"/>
      <c r="E28" s="1847"/>
      <c r="F28" s="1848"/>
      <c r="G28" s="1848"/>
      <c r="H28" s="1848"/>
      <c r="I28" s="1849"/>
      <c r="K28" s="848"/>
      <c r="L28" s="855"/>
      <c r="M28" s="74"/>
      <c r="N28" s="372">
        <v>0</v>
      </c>
      <c r="O28" s="373">
        <v>20</v>
      </c>
      <c r="P28" s="856"/>
      <c r="Q28" s="856"/>
      <c r="R28" s="856"/>
      <c r="S28" s="856"/>
      <c r="T28" s="856"/>
      <c r="U28" s="856"/>
    </row>
    <row r="29" spans="1:21" s="547" customFormat="1" ht="27.95" customHeight="1">
      <c r="B29" s="844">
        <v>13</v>
      </c>
      <c r="C29" s="86"/>
      <c r="D29" s="845"/>
      <c r="E29" s="1847"/>
      <c r="F29" s="1848"/>
      <c r="G29" s="1848"/>
      <c r="H29" s="1848"/>
      <c r="I29" s="1849"/>
      <c r="K29" s="848"/>
      <c r="L29" s="856"/>
      <c r="M29" s="74"/>
      <c r="N29" s="372">
        <v>0</v>
      </c>
      <c r="O29" s="373">
        <v>20</v>
      </c>
      <c r="P29" s="856"/>
      <c r="Q29" s="856"/>
      <c r="R29" s="856"/>
      <c r="S29" s="856"/>
      <c r="T29" s="856"/>
      <c r="U29" s="856"/>
    </row>
    <row r="30" spans="1:21">
      <c r="K30" s="848"/>
      <c r="L30" s="856"/>
      <c r="M30" s="74"/>
      <c r="N30" s="856"/>
      <c r="O30" s="856"/>
      <c r="P30" s="856"/>
      <c r="Q30" s="856"/>
      <c r="R30" s="856"/>
      <c r="S30" s="856"/>
      <c r="T30" s="856"/>
      <c r="U30" s="856"/>
    </row>
    <row r="31" spans="1:21" ht="25.5" customHeight="1">
      <c r="A31" t="s">
        <v>1247</v>
      </c>
      <c r="B31" s="857"/>
      <c r="C31" s="857"/>
      <c r="D31" s="857"/>
      <c r="E31" s="857"/>
      <c r="F31" s="857"/>
      <c r="G31" s="857"/>
      <c r="H31" s="857"/>
      <c r="I31" s="857"/>
      <c r="K31" s="848"/>
      <c r="L31" s="856"/>
      <c r="M31" s="74"/>
      <c r="N31" s="856"/>
      <c r="O31" s="856"/>
      <c r="P31" s="856"/>
      <c r="Q31" s="856"/>
      <c r="R31" s="856"/>
      <c r="S31" s="856"/>
      <c r="T31" s="856"/>
      <c r="U31" s="856"/>
    </row>
    <row r="32" spans="1:21" s="8" customFormat="1" ht="33" customHeight="1">
      <c r="A32" s="858"/>
      <c r="B32" s="1836" t="s">
        <v>1248</v>
      </c>
      <c r="C32" s="1836"/>
      <c r="D32" s="1836"/>
      <c r="E32" s="1836"/>
      <c r="F32" s="1836"/>
      <c r="G32" s="1836"/>
      <c r="H32" s="1846" t="s">
        <v>1808</v>
      </c>
      <c r="I32" s="1846"/>
      <c r="K32" s="8" t="str">
        <f>IF(H32="","×","○")</f>
        <v>○</v>
      </c>
      <c r="M32" s="74"/>
      <c r="N32" s="856"/>
      <c r="O32" s="856"/>
      <c r="P32" s="856"/>
      <c r="Q32" s="856"/>
      <c r="R32" s="856"/>
      <c r="S32" s="856"/>
      <c r="T32" s="856"/>
      <c r="U32" s="856"/>
    </row>
    <row r="33" spans="1:21" s="8" customFormat="1" ht="33" customHeight="1">
      <c r="A33" s="858"/>
      <c r="B33" s="1836" t="s">
        <v>1249</v>
      </c>
      <c r="C33" s="1836"/>
      <c r="D33" s="1836"/>
      <c r="E33" s="1836"/>
      <c r="F33" s="1836"/>
      <c r="G33" s="1836"/>
      <c r="H33" s="1837" t="s">
        <v>1950</v>
      </c>
      <c r="I33" s="1838"/>
      <c r="K33" s="8" t="str">
        <f t="shared" ref="K33:K36" si="0">IF(H33="","×","○")</f>
        <v>○</v>
      </c>
      <c r="L33" s="859"/>
      <c r="M33" s="74"/>
      <c r="N33" s="859"/>
      <c r="O33" s="859"/>
      <c r="P33" s="859"/>
      <c r="Q33" s="859"/>
      <c r="R33" s="859"/>
      <c r="S33" s="859"/>
      <c r="T33" s="859"/>
      <c r="U33" s="859"/>
    </row>
    <row r="34" spans="1:21" s="8" customFormat="1" ht="33" customHeight="1">
      <c r="A34" s="858"/>
      <c r="B34" s="1836" t="s">
        <v>1250</v>
      </c>
      <c r="C34" s="1836"/>
      <c r="D34" s="1836"/>
      <c r="E34" s="1836"/>
      <c r="F34" s="1836"/>
      <c r="G34" s="1836"/>
      <c r="H34" s="1837" t="s">
        <v>1950</v>
      </c>
      <c r="I34" s="1838"/>
      <c r="K34" s="8" t="str">
        <f t="shared" si="0"/>
        <v>○</v>
      </c>
      <c r="L34" s="859"/>
      <c r="M34" s="74"/>
      <c r="N34" s="859"/>
      <c r="O34" s="859"/>
      <c r="P34" s="859"/>
      <c r="Q34" s="859"/>
      <c r="R34" s="859"/>
      <c r="S34" s="859"/>
      <c r="T34" s="859"/>
      <c r="U34" s="859"/>
    </row>
    <row r="35" spans="1:21" s="8" customFormat="1" ht="33" customHeight="1">
      <c r="A35" s="858"/>
      <c r="B35" s="1836" t="s">
        <v>1251</v>
      </c>
      <c r="C35" s="1836"/>
      <c r="D35" s="1836"/>
      <c r="E35" s="1836"/>
      <c r="F35" s="1836"/>
      <c r="G35" s="1836"/>
      <c r="H35" s="1837" t="s">
        <v>1950</v>
      </c>
      <c r="I35" s="1838"/>
      <c r="K35" s="8" t="str">
        <f t="shared" si="0"/>
        <v>○</v>
      </c>
      <c r="L35" s="859"/>
      <c r="M35" s="74"/>
      <c r="N35" s="859"/>
      <c r="O35" s="859"/>
      <c r="P35" s="859"/>
      <c r="Q35" s="859"/>
      <c r="R35" s="859"/>
      <c r="S35" s="859"/>
      <c r="T35" s="859"/>
      <c r="U35" s="859"/>
    </row>
    <row r="36" spans="1:21" s="8" customFormat="1" ht="33" customHeight="1">
      <c r="A36" s="858"/>
      <c r="B36" s="1836" t="s">
        <v>1252</v>
      </c>
      <c r="C36" s="1836"/>
      <c r="D36" s="1836"/>
      <c r="E36" s="1836"/>
      <c r="F36" s="1836"/>
      <c r="G36" s="1836"/>
      <c r="H36" s="1837" t="s">
        <v>1950</v>
      </c>
      <c r="I36" s="1838"/>
      <c r="K36" s="8" t="str">
        <f t="shared" si="0"/>
        <v>○</v>
      </c>
      <c r="L36" s="859"/>
      <c r="M36" s="74"/>
      <c r="N36" s="859"/>
      <c r="O36" s="859"/>
      <c r="P36" s="859"/>
      <c r="Q36" s="859"/>
      <c r="R36" s="859"/>
      <c r="S36" s="859"/>
      <c r="T36" s="859"/>
      <c r="U36" s="859"/>
    </row>
    <row r="37" spans="1:21" s="8" customFormat="1" ht="33" customHeight="1">
      <c r="A37" s="858"/>
      <c r="B37" s="1839" t="s">
        <v>1253</v>
      </c>
      <c r="C37" s="1839"/>
      <c r="D37" s="1839"/>
      <c r="E37" s="1839"/>
      <c r="F37" s="1839"/>
      <c r="G37" s="1839"/>
      <c r="H37" s="845"/>
      <c r="I37" s="31" t="s">
        <v>1254</v>
      </c>
      <c r="K37" s="587"/>
      <c r="L37" s="859"/>
      <c r="M37" s="74"/>
      <c r="N37" s="372">
        <v>0</v>
      </c>
      <c r="O37" s="373">
        <v>20</v>
      </c>
      <c r="P37" s="859"/>
      <c r="Q37" s="859"/>
      <c r="R37" s="859"/>
      <c r="S37" s="859"/>
      <c r="T37" s="859"/>
      <c r="U37" s="859"/>
    </row>
    <row r="38" spans="1:21" ht="33" customHeight="1">
      <c r="B38" s="1840" t="s">
        <v>1255</v>
      </c>
      <c r="C38" s="1841"/>
      <c r="D38" s="1841"/>
      <c r="E38" s="1841"/>
      <c r="F38" s="1841"/>
      <c r="G38" s="1841"/>
      <c r="H38" s="1841"/>
      <c r="I38" s="1842"/>
      <c r="K38" s="848"/>
      <c r="L38" s="848"/>
      <c r="M38" s="74"/>
      <c r="N38" s="848"/>
      <c r="O38" s="848"/>
      <c r="P38" s="848"/>
      <c r="Q38" s="848"/>
      <c r="R38" s="848"/>
      <c r="S38" s="848"/>
      <c r="T38" s="848"/>
      <c r="U38" s="848"/>
    </row>
    <row r="39" spans="1:21" ht="23.1" customHeight="1">
      <c r="B39" s="1828" t="s">
        <v>1949</v>
      </c>
      <c r="C39" s="1829"/>
      <c r="D39" s="1829"/>
      <c r="E39" s="1829"/>
      <c r="F39" s="1829"/>
      <c r="G39" s="1829"/>
      <c r="H39" s="1829"/>
      <c r="I39" s="1830"/>
      <c r="K39" s="661"/>
      <c r="L39" s="848"/>
      <c r="M39" s="74"/>
      <c r="N39" s="848"/>
      <c r="O39" s="848"/>
      <c r="P39" s="848"/>
      <c r="Q39" s="848"/>
      <c r="R39" s="848"/>
      <c r="S39" s="848"/>
      <c r="T39" s="848"/>
      <c r="U39" s="848"/>
    </row>
    <row r="40" spans="1:21" ht="23.1" customHeight="1">
      <c r="B40" s="1831"/>
      <c r="C40" s="1375"/>
      <c r="D40" s="1375"/>
      <c r="E40" s="1375"/>
      <c r="F40" s="1375"/>
      <c r="G40" s="1375"/>
      <c r="H40" s="1375"/>
      <c r="I40" s="1832"/>
      <c r="K40" s="848"/>
      <c r="L40" s="848"/>
      <c r="M40" s="74"/>
      <c r="N40" s="848"/>
      <c r="O40" s="848"/>
      <c r="P40" s="848"/>
      <c r="Q40" s="848"/>
      <c r="R40" s="848"/>
      <c r="S40" s="848"/>
      <c r="T40" s="848"/>
      <c r="U40" s="848"/>
    </row>
    <row r="41" spans="1:21" ht="23.1" customHeight="1">
      <c r="B41" s="1831"/>
      <c r="C41" s="1375"/>
      <c r="D41" s="1375"/>
      <c r="E41" s="1375"/>
      <c r="F41" s="1375"/>
      <c r="G41" s="1375"/>
      <c r="H41" s="1375"/>
      <c r="I41" s="1832"/>
      <c r="K41" s="848"/>
      <c r="L41" s="848"/>
      <c r="M41" s="74"/>
      <c r="N41" s="848"/>
      <c r="O41" s="848"/>
      <c r="P41" s="848"/>
      <c r="Q41" s="848"/>
      <c r="R41" s="848"/>
      <c r="S41" s="848"/>
      <c r="T41" s="848"/>
      <c r="U41" s="848"/>
    </row>
    <row r="42" spans="1:21" ht="23.1" customHeight="1">
      <c r="B42" s="1831"/>
      <c r="C42" s="1375"/>
      <c r="D42" s="1375"/>
      <c r="E42" s="1375"/>
      <c r="F42" s="1375"/>
      <c r="G42" s="1375"/>
      <c r="H42" s="1375"/>
      <c r="I42" s="1832"/>
      <c r="K42" s="848"/>
      <c r="L42" s="848"/>
      <c r="M42" s="74"/>
      <c r="N42" s="848"/>
      <c r="O42" s="848"/>
      <c r="P42" s="848"/>
      <c r="Q42" s="848"/>
      <c r="R42" s="848"/>
      <c r="S42" s="848"/>
      <c r="T42" s="848"/>
      <c r="U42" s="848"/>
    </row>
    <row r="43" spans="1:21" ht="23.1" customHeight="1">
      <c r="B43" s="1833"/>
      <c r="C43" s="1834"/>
      <c r="D43" s="1834"/>
      <c r="E43" s="1834"/>
      <c r="F43" s="1834"/>
      <c r="G43" s="1834"/>
      <c r="H43" s="1834"/>
      <c r="I43" s="1835"/>
      <c r="K43" s="848"/>
      <c r="L43" s="848"/>
      <c r="M43" s="74"/>
      <c r="N43" s="848"/>
      <c r="O43" s="848"/>
      <c r="P43" s="848"/>
      <c r="Q43" s="848"/>
      <c r="R43" s="848"/>
      <c r="S43" s="848"/>
      <c r="T43" s="848"/>
      <c r="U43" s="848"/>
    </row>
    <row r="44" spans="1:21" ht="33" customHeight="1">
      <c r="B44" s="1843" t="s">
        <v>1256</v>
      </c>
      <c r="C44" s="1844"/>
      <c r="D44" s="1844"/>
      <c r="E44" s="1844"/>
      <c r="F44" s="1844"/>
      <c r="G44" s="1844"/>
      <c r="H44" s="1844"/>
      <c r="I44" s="1845"/>
      <c r="K44" s="848"/>
      <c r="L44" s="848"/>
      <c r="M44" s="74"/>
      <c r="N44" s="848"/>
      <c r="O44" s="848"/>
      <c r="P44" s="848"/>
      <c r="Q44" s="848"/>
      <c r="R44" s="848"/>
      <c r="S44" s="848"/>
      <c r="T44" s="848"/>
      <c r="U44" s="848"/>
    </row>
    <row r="45" spans="1:21" ht="23.1" customHeight="1">
      <c r="B45" s="1828"/>
      <c r="C45" s="1829"/>
      <c r="D45" s="1829"/>
      <c r="E45" s="1829"/>
      <c r="F45" s="1829"/>
      <c r="G45" s="1829"/>
      <c r="H45" s="1829"/>
      <c r="I45" s="1830"/>
      <c r="K45" s="848"/>
      <c r="L45" s="848"/>
      <c r="M45" s="74"/>
      <c r="N45" s="848"/>
      <c r="O45" s="848"/>
      <c r="P45" s="848"/>
      <c r="Q45" s="848"/>
      <c r="R45" s="848"/>
      <c r="S45" s="848"/>
      <c r="T45" s="848"/>
      <c r="U45" s="848"/>
    </row>
    <row r="46" spans="1:21" ht="23.1" customHeight="1">
      <c r="B46" s="1831"/>
      <c r="C46" s="1375"/>
      <c r="D46" s="1375"/>
      <c r="E46" s="1375"/>
      <c r="F46" s="1375"/>
      <c r="G46" s="1375"/>
      <c r="H46" s="1375"/>
      <c r="I46" s="1832"/>
      <c r="K46" s="848"/>
      <c r="L46" s="848"/>
      <c r="M46" s="74"/>
      <c r="N46" s="848"/>
      <c r="O46" s="848"/>
      <c r="P46" s="848"/>
      <c r="Q46" s="848"/>
      <c r="R46" s="848"/>
      <c r="S46" s="848"/>
      <c r="T46" s="848"/>
      <c r="U46" s="848"/>
    </row>
    <row r="47" spans="1:21" ht="23.1" customHeight="1">
      <c r="B47" s="1833"/>
      <c r="C47" s="1834"/>
      <c r="D47" s="1834"/>
      <c r="E47" s="1834"/>
      <c r="F47" s="1834"/>
      <c r="G47" s="1834"/>
      <c r="H47" s="1834"/>
      <c r="I47" s="1835"/>
      <c r="K47" s="848"/>
      <c r="L47" s="848"/>
      <c r="M47" s="74"/>
      <c r="N47" s="848"/>
      <c r="O47" s="848"/>
      <c r="P47" s="848"/>
      <c r="Q47" s="848"/>
      <c r="R47" s="848"/>
      <c r="S47" s="848"/>
      <c r="T47" s="848"/>
      <c r="U47" s="848"/>
    </row>
    <row r="48" spans="1:21" ht="9.9499999999999993" customHeight="1">
      <c r="M48" s="179"/>
    </row>
    <row r="49" spans="13:13">
      <c r="M49" s="106"/>
    </row>
    <row r="50" spans="13:13">
      <c r="M50" s="106"/>
    </row>
    <row r="51" spans="13:13">
      <c r="M51" s="106"/>
    </row>
    <row r="52" spans="13:13">
      <c r="M52" s="106"/>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9"/>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Normal="100" zoomScaleSheetLayoutView="100" workbookViewId="0">
      <selection activeCell="H20" sqref="H20"/>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853" t="s">
        <v>1466</v>
      </c>
      <c r="B1" s="1853"/>
      <c r="C1" s="1853"/>
      <c r="D1" s="1853"/>
      <c r="E1" s="1853"/>
      <c r="F1" s="1853"/>
      <c r="G1" s="1853"/>
      <c r="H1" s="1853"/>
      <c r="I1" s="1853"/>
      <c r="J1" s="1853"/>
    </row>
    <row r="2" spans="1:13" ht="24.95" customHeight="1" thickBot="1">
      <c r="B2" s="1324" t="s">
        <v>1238</v>
      </c>
      <c r="C2" s="1324"/>
      <c r="D2" s="1324"/>
      <c r="E2" s="1324"/>
      <c r="F2" s="1324"/>
      <c r="G2" s="1324"/>
      <c r="H2" s="1324"/>
      <c r="I2" s="847" t="str">
        <f>IF(COUNTIF(K:K,"×")=0,"入力済","未入力あり")</f>
        <v>入力済</v>
      </c>
      <c r="M2" s="177" t="s">
        <v>234</v>
      </c>
    </row>
    <row r="3" spans="1:13" ht="24.95" customHeight="1">
      <c r="B3" s="1854"/>
      <c r="C3" s="1854"/>
      <c r="D3" s="1854"/>
      <c r="E3" s="1854"/>
      <c r="F3" s="1854"/>
      <c r="G3" s="1854"/>
      <c r="H3" s="1854"/>
      <c r="I3" s="426"/>
      <c r="M3" s="74"/>
    </row>
    <row r="4" spans="1:13" ht="24.95" customHeight="1">
      <c r="G4" s="846" t="s">
        <v>757</v>
      </c>
      <c r="H4" s="1325" t="str">
        <f>表紙!E2</f>
        <v>パナソニック健康保険組合　松下記念病院</v>
      </c>
      <c r="I4" s="1326"/>
      <c r="M4" s="74"/>
    </row>
    <row r="5" spans="1:13" ht="20.100000000000001" customHeight="1">
      <c r="M5" s="154"/>
    </row>
    <row r="6" spans="1:13" ht="11.25" customHeight="1">
      <c r="G6" s="568"/>
      <c r="M6" s="74"/>
    </row>
    <row r="7" spans="1:13" ht="9.9499999999999993" customHeight="1">
      <c r="G7" s="568"/>
      <c r="M7" s="74"/>
    </row>
    <row r="8" spans="1:13" ht="20.100000000000001" customHeight="1">
      <c r="A8" s="1855" t="s">
        <v>1467</v>
      </c>
      <c r="B8" s="1855"/>
      <c r="C8" s="1855"/>
      <c r="D8" s="1855"/>
      <c r="E8" s="1855"/>
      <c r="F8" s="1855"/>
      <c r="G8" s="1855"/>
      <c r="H8" s="1855"/>
      <c r="I8" s="1855"/>
      <c r="J8" s="1855"/>
      <c r="M8" s="154"/>
    </row>
    <row r="9" spans="1:13" ht="20.100000000000001" customHeight="1" thickBot="1">
      <c r="A9" s="1"/>
      <c r="B9" s="1146" t="s">
        <v>1476</v>
      </c>
      <c r="C9" s="1"/>
      <c r="D9" s="1"/>
      <c r="E9" s="1"/>
      <c r="F9" s="1"/>
      <c r="G9" s="1"/>
      <c r="H9" s="1"/>
      <c r="I9" s="1"/>
      <c r="J9" s="1"/>
      <c r="K9" s="587"/>
      <c r="M9" s="154"/>
    </row>
    <row r="10" spans="1:13" ht="20.100000000000001" customHeight="1" thickBot="1">
      <c r="A10" s="1866" t="s">
        <v>1951</v>
      </c>
      <c r="B10" s="1867"/>
      <c r="C10" s="1867"/>
      <c r="D10" s="1867"/>
      <c r="E10" s="1867"/>
      <c r="F10" s="1867"/>
      <c r="G10" s="1867"/>
      <c r="H10" s="1868"/>
      <c r="K10" s="894" t="str">
        <f>IF(ISBLANK(A10),"×","〇")</f>
        <v>〇</v>
      </c>
      <c r="M10" s="74"/>
    </row>
    <row r="11" spans="1:13" ht="20.100000000000001" customHeight="1" thickBot="1">
      <c r="A11" s="1"/>
      <c r="B11" s="1"/>
      <c r="C11" s="1"/>
      <c r="D11" s="1"/>
      <c r="F11" s="1864" t="s">
        <v>1724</v>
      </c>
      <c r="G11" s="1865"/>
      <c r="H11" s="880">
        <v>0</v>
      </c>
      <c r="I11" s="1"/>
      <c r="J11" s="1"/>
      <c r="K11" s="587" t="str">
        <f>IF(AND(A11&lt;&gt;0,A11=""),"×","○")</f>
        <v>○</v>
      </c>
      <c r="M11" s="74"/>
    </row>
    <row r="12" spans="1:13" ht="20.100000000000001" customHeight="1">
      <c r="A12" s="881"/>
      <c r="B12" s="1"/>
      <c r="C12" s="1"/>
      <c r="D12" s="1"/>
      <c r="E12" s="1"/>
      <c r="F12" s="1"/>
      <c r="G12" s="1"/>
      <c r="H12" s="1"/>
      <c r="I12" s="1"/>
      <c r="J12" s="1"/>
      <c r="M12" s="74"/>
    </row>
    <row r="13" spans="1:13" ht="20.100000000000001" customHeight="1">
      <c r="A13" s="881"/>
      <c r="B13" s="1"/>
      <c r="C13" s="1"/>
      <c r="D13" s="1"/>
      <c r="E13" s="1"/>
      <c r="F13" s="1"/>
      <c r="G13" s="1"/>
      <c r="H13" s="1"/>
      <c r="I13" s="1"/>
      <c r="J13" s="1"/>
      <c r="M13" s="74"/>
    </row>
    <row r="14" spans="1:13" ht="20.100000000000001" customHeight="1">
      <c r="A14" s="1869" t="s">
        <v>1725</v>
      </c>
      <c r="B14" s="1870"/>
      <c r="C14" s="1870"/>
      <c r="D14" s="1870"/>
      <c r="E14" s="1870"/>
      <c r="F14" s="1870"/>
      <c r="G14" s="1870"/>
      <c r="H14" s="1870"/>
      <c r="I14" s="1871"/>
      <c r="J14" s="1"/>
      <c r="M14" s="74"/>
    </row>
    <row r="15" spans="1:13" ht="20.100000000000001" customHeight="1">
      <c r="A15" s="1872"/>
      <c r="B15" s="1873"/>
      <c r="C15" s="1873"/>
      <c r="D15" s="1873"/>
      <c r="E15" s="1873"/>
      <c r="F15" s="1873"/>
      <c r="G15" s="1873"/>
      <c r="H15" s="1873"/>
      <c r="I15" s="1874"/>
      <c r="J15" s="1"/>
      <c r="M15" s="74"/>
    </row>
    <row r="16" spans="1:13" ht="53.25" customHeight="1">
      <c r="A16" s="1872"/>
      <c r="B16" s="1873"/>
      <c r="C16" s="1873"/>
      <c r="D16" s="1873"/>
      <c r="E16" s="1873"/>
      <c r="F16" s="1873"/>
      <c r="G16" s="1873"/>
      <c r="H16" s="1873"/>
      <c r="I16" s="1874"/>
      <c r="J16" s="1"/>
      <c r="M16" s="74"/>
    </row>
    <row r="17" spans="1:21" ht="20.100000000000001" customHeight="1">
      <c r="A17" s="883"/>
      <c r="B17" s="883"/>
      <c r="C17" s="883"/>
      <c r="D17" s="883"/>
      <c r="E17" s="883"/>
      <c r="F17" s="883"/>
      <c r="G17" s="883"/>
      <c r="H17" s="883"/>
      <c r="I17" s="883"/>
      <c r="J17" s="1"/>
      <c r="M17" s="74"/>
    </row>
    <row r="18" spans="1:21" s="547" customFormat="1" ht="50.25" customHeight="1">
      <c r="B18" s="885"/>
      <c r="C18" s="879" t="s">
        <v>1468</v>
      </c>
      <c r="D18" s="879" t="s">
        <v>1469</v>
      </c>
      <c r="E18" s="884" t="s">
        <v>1470</v>
      </c>
      <c r="F18" s="1875" t="s">
        <v>1471</v>
      </c>
      <c r="G18" s="1876"/>
      <c r="H18" s="879" t="s">
        <v>1784</v>
      </c>
      <c r="I18" s="892" t="s">
        <v>1472</v>
      </c>
      <c r="K18" s="851"/>
      <c r="L18" s="848"/>
      <c r="M18" s="74"/>
      <c r="N18" s="848"/>
      <c r="O18" s="848"/>
      <c r="P18" s="848"/>
      <c r="Q18" s="848"/>
      <c r="R18" s="848"/>
      <c r="S18" s="848"/>
      <c r="T18" s="848"/>
      <c r="U18" s="848"/>
    </row>
    <row r="19" spans="1:21" s="547" customFormat="1" ht="27.95" customHeight="1" thickBot="1">
      <c r="B19" s="752" t="s">
        <v>1048</v>
      </c>
      <c r="C19" s="795">
        <v>10</v>
      </c>
      <c r="D19" s="886">
        <v>20</v>
      </c>
      <c r="E19" s="887" t="s">
        <v>1473</v>
      </c>
      <c r="F19" s="1877" t="s">
        <v>1474</v>
      </c>
      <c r="G19" s="1878"/>
      <c r="H19" s="888">
        <v>4</v>
      </c>
      <c r="I19" s="889" t="s">
        <v>1475</v>
      </c>
      <c r="K19" s="848"/>
      <c r="L19" s="848"/>
      <c r="M19" s="74"/>
      <c r="N19" s="848"/>
      <c r="O19" s="848"/>
      <c r="P19" s="848"/>
      <c r="Q19" s="848"/>
      <c r="R19" s="848"/>
      <c r="S19" s="848"/>
      <c r="T19" s="848"/>
      <c r="U19" s="848"/>
    </row>
    <row r="20" spans="1:21" s="547" customFormat="1" ht="27.95" customHeight="1" thickBot="1">
      <c r="B20" s="436">
        <v>1</v>
      </c>
      <c r="C20" s="890">
        <v>22</v>
      </c>
      <c r="D20" s="890">
        <v>35</v>
      </c>
      <c r="E20" s="891" t="s">
        <v>1952</v>
      </c>
      <c r="F20" s="1879" t="s">
        <v>1953</v>
      </c>
      <c r="G20" s="1880"/>
      <c r="H20" s="890">
        <v>2</v>
      </c>
      <c r="I20" s="893" t="s">
        <v>1954</v>
      </c>
      <c r="K20" s="882" t="str">
        <f>IF(AND(A20&lt;&gt;0,A20=""),"×","○")</f>
        <v>○</v>
      </c>
      <c r="L20" s="848"/>
      <c r="M20" s="74"/>
      <c r="N20" s="372">
        <v>0</v>
      </c>
      <c r="O20" s="373">
        <v>20</v>
      </c>
      <c r="P20" s="848"/>
      <c r="Q20" s="848"/>
      <c r="R20" s="848"/>
      <c r="S20" s="848"/>
      <c r="T20" s="848"/>
      <c r="U20" s="848"/>
    </row>
    <row r="21" spans="1:21" s="547" customFormat="1" ht="27.95" customHeight="1" thickBot="1">
      <c r="B21" s="844">
        <v>2</v>
      </c>
      <c r="C21" s="890"/>
      <c r="D21" s="890"/>
      <c r="E21" s="891"/>
      <c r="F21" s="1879"/>
      <c r="G21" s="1880"/>
      <c r="H21" s="890"/>
      <c r="I21" s="893"/>
      <c r="K21" s="848"/>
      <c r="L21" s="848"/>
      <c r="M21" s="74"/>
      <c r="N21" s="372">
        <v>0</v>
      </c>
      <c r="O21" s="373">
        <v>20</v>
      </c>
      <c r="P21" s="848"/>
      <c r="Q21" s="848"/>
      <c r="R21" s="848"/>
      <c r="S21" s="848"/>
      <c r="T21" s="848"/>
      <c r="U21" s="848"/>
    </row>
    <row r="22" spans="1:21" s="547" customFormat="1" ht="27.95" customHeight="1" thickBot="1">
      <c r="B22" s="854">
        <v>3</v>
      </c>
      <c r="C22" s="890"/>
      <c r="D22" s="890"/>
      <c r="E22" s="891"/>
      <c r="F22" s="1879"/>
      <c r="G22" s="1880"/>
      <c r="H22" s="890"/>
      <c r="I22" s="893"/>
      <c r="K22" s="851"/>
      <c r="L22" s="848"/>
      <c r="M22" s="74"/>
      <c r="N22" s="372">
        <v>0</v>
      </c>
      <c r="O22" s="373">
        <v>20</v>
      </c>
      <c r="P22" s="848"/>
      <c r="Q22" s="848"/>
      <c r="R22" s="848"/>
      <c r="S22" s="848"/>
      <c r="T22" s="848"/>
      <c r="U22" s="848"/>
    </row>
    <row r="23" spans="1:21" s="547" customFormat="1" ht="27.95" customHeight="1" thickBot="1">
      <c r="B23" s="844">
        <v>4</v>
      </c>
      <c r="C23" s="890"/>
      <c r="D23" s="890"/>
      <c r="E23" s="891"/>
      <c r="F23" s="1879"/>
      <c r="G23" s="1880"/>
      <c r="H23" s="890"/>
      <c r="I23" s="893"/>
      <c r="K23" s="848"/>
      <c r="L23" s="848"/>
      <c r="M23" s="74"/>
      <c r="N23" s="372">
        <v>0</v>
      </c>
      <c r="O23" s="373">
        <v>20</v>
      </c>
      <c r="P23" s="848"/>
      <c r="Q23" s="848"/>
      <c r="R23" s="848"/>
      <c r="S23" s="848"/>
      <c r="T23" s="848"/>
      <c r="U23" s="848"/>
    </row>
    <row r="24" spans="1:21" s="547" customFormat="1" ht="27.95" customHeight="1" thickBot="1">
      <c r="B24" s="844">
        <v>5</v>
      </c>
      <c r="C24" s="890"/>
      <c r="D24" s="890"/>
      <c r="E24" s="891"/>
      <c r="F24" s="1879"/>
      <c r="G24" s="1880"/>
      <c r="H24" s="890"/>
      <c r="I24" s="893"/>
      <c r="K24" s="848"/>
      <c r="L24" s="848"/>
      <c r="M24" s="74"/>
      <c r="N24" s="372">
        <v>0</v>
      </c>
      <c r="O24" s="373">
        <v>20</v>
      </c>
      <c r="P24" s="848"/>
      <c r="Q24" s="848"/>
      <c r="R24" s="848"/>
      <c r="S24" s="848"/>
      <c r="T24" s="848"/>
      <c r="U24" s="848"/>
    </row>
    <row r="25" spans="1:21" s="547" customFormat="1" ht="27.95" customHeight="1" thickBot="1">
      <c r="B25" s="844">
        <v>6</v>
      </c>
      <c r="C25" s="890"/>
      <c r="D25" s="890"/>
      <c r="E25" s="891"/>
      <c r="F25" s="1879"/>
      <c r="G25" s="1880"/>
      <c r="H25" s="890"/>
      <c r="I25" s="893"/>
      <c r="K25" s="848"/>
      <c r="L25" s="848"/>
      <c r="M25" s="74"/>
      <c r="N25" s="372">
        <v>0</v>
      </c>
      <c r="O25" s="373">
        <v>20</v>
      </c>
      <c r="P25" s="848"/>
      <c r="Q25" s="848"/>
      <c r="R25" s="848"/>
      <c r="S25" s="848"/>
      <c r="T25" s="848"/>
      <c r="U25" s="848"/>
    </row>
    <row r="26" spans="1:21" s="547" customFormat="1" ht="27.95" customHeight="1" thickBot="1">
      <c r="B26" s="844">
        <v>7</v>
      </c>
      <c r="C26" s="890"/>
      <c r="D26" s="890"/>
      <c r="E26" s="891"/>
      <c r="F26" s="1879"/>
      <c r="G26" s="1880"/>
      <c r="H26" s="890"/>
      <c r="I26" s="893"/>
      <c r="K26" s="851"/>
      <c r="L26" s="848"/>
      <c r="M26" s="74"/>
      <c r="N26" s="372">
        <v>0</v>
      </c>
      <c r="O26" s="373">
        <v>20</v>
      </c>
      <c r="P26" s="848"/>
      <c r="Q26" s="848"/>
      <c r="R26" s="848"/>
      <c r="S26" s="848"/>
      <c r="T26" s="848"/>
      <c r="U26" s="848"/>
    </row>
    <row r="27" spans="1:21" s="547" customFormat="1" ht="27.95" customHeight="1" thickBot="1">
      <c r="B27" s="844">
        <v>8</v>
      </c>
      <c r="C27" s="890"/>
      <c r="D27" s="890"/>
      <c r="E27" s="891"/>
      <c r="F27" s="1879"/>
      <c r="G27" s="1880"/>
      <c r="H27" s="890"/>
      <c r="I27" s="893"/>
      <c r="K27" s="848"/>
      <c r="L27" s="848"/>
      <c r="M27" s="74"/>
      <c r="N27" s="372">
        <v>0</v>
      </c>
      <c r="O27" s="373">
        <v>20</v>
      </c>
      <c r="P27" s="848"/>
      <c r="Q27" s="848"/>
      <c r="R27" s="848"/>
      <c r="S27" s="848"/>
      <c r="T27" s="848"/>
      <c r="U27" s="848"/>
    </row>
    <row r="28" spans="1:21" s="547" customFormat="1" ht="27.95" customHeight="1" thickBot="1">
      <c r="B28" s="844">
        <v>9</v>
      </c>
      <c r="C28" s="890"/>
      <c r="D28" s="890"/>
      <c r="E28" s="891"/>
      <c r="F28" s="1879"/>
      <c r="G28" s="1880"/>
      <c r="H28" s="890"/>
      <c r="I28" s="893"/>
      <c r="K28" s="848"/>
      <c r="L28" s="848"/>
      <c r="M28" s="74"/>
      <c r="N28" s="372">
        <v>0</v>
      </c>
      <c r="O28" s="373">
        <v>20</v>
      </c>
      <c r="P28" s="848"/>
      <c r="Q28" s="848"/>
      <c r="R28" s="848"/>
      <c r="S28" s="848"/>
      <c r="T28" s="848"/>
      <c r="U28" s="848"/>
    </row>
    <row r="29" spans="1:21" s="547" customFormat="1" ht="27.95" customHeight="1" thickBot="1">
      <c r="B29" s="844">
        <v>10</v>
      </c>
      <c r="C29" s="890"/>
      <c r="D29" s="890"/>
      <c r="E29" s="891"/>
      <c r="F29" s="1879"/>
      <c r="G29" s="1880"/>
      <c r="H29" s="890"/>
      <c r="I29" s="893"/>
      <c r="K29" s="848"/>
      <c r="L29" s="848"/>
      <c r="M29" s="74"/>
      <c r="N29" s="372">
        <v>0</v>
      </c>
      <c r="O29" s="373">
        <v>20</v>
      </c>
      <c r="P29" s="848"/>
      <c r="Q29" s="848"/>
      <c r="R29" s="848"/>
      <c r="S29" s="848"/>
      <c r="T29" s="848"/>
      <c r="U29" s="848"/>
    </row>
    <row r="30" spans="1:21" s="547" customFormat="1" ht="27.95" customHeight="1" thickBot="1">
      <c r="B30" s="844">
        <v>11</v>
      </c>
      <c r="C30" s="890"/>
      <c r="D30" s="890"/>
      <c r="E30" s="891"/>
      <c r="F30" s="1879"/>
      <c r="G30" s="1880"/>
      <c r="H30" s="890"/>
      <c r="I30" s="893"/>
      <c r="K30" s="851"/>
      <c r="L30" s="848"/>
      <c r="M30" s="74"/>
      <c r="N30" s="372">
        <v>0</v>
      </c>
      <c r="O30" s="373">
        <v>20</v>
      </c>
      <c r="P30" s="848"/>
      <c r="Q30" s="848"/>
      <c r="R30" s="848"/>
      <c r="S30" s="848"/>
      <c r="T30" s="848"/>
      <c r="U30" s="848"/>
    </row>
    <row r="31" spans="1:21" s="547" customFormat="1" ht="27.95" customHeight="1" thickBot="1">
      <c r="B31" s="844">
        <v>12</v>
      </c>
      <c r="C31" s="890"/>
      <c r="D31" s="890"/>
      <c r="E31" s="891"/>
      <c r="F31" s="1879"/>
      <c r="G31" s="1880"/>
      <c r="H31" s="890"/>
      <c r="I31" s="893"/>
      <c r="K31" s="848"/>
      <c r="L31" s="855"/>
      <c r="M31" s="74"/>
      <c r="N31" s="372">
        <v>0</v>
      </c>
      <c r="O31" s="373">
        <v>20</v>
      </c>
      <c r="P31" s="856"/>
      <c r="Q31" s="856"/>
      <c r="R31" s="856"/>
      <c r="S31" s="856"/>
      <c r="T31" s="856"/>
      <c r="U31" s="856"/>
    </row>
    <row r="32" spans="1:21" s="547" customFormat="1" ht="27.95" customHeight="1" thickBot="1">
      <c r="B32" s="844">
        <v>13</v>
      </c>
      <c r="C32" s="890"/>
      <c r="D32" s="890"/>
      <c r="E32" s="891"/>
      <c r="F32" s="1879"/>
      <c r="G32" s="1880"/>
      <c r="H32" s="890"/>
      <c r="I32" s="893"/>
      <c r="K32" s="848"/>
      <c r="L32" s="856"/>
      <c r="M32" s="74"/>
      <c r="N32" s="372">
        <v>0</v>
      </c>
      <c r="O32" s="373">
        <v>20</v>
      </c>
      <c r="P32" s="856"/>
      <c r="Q32" s="856"/>
      <c r="R32" s="856"/>
      <c r="S32" s="856"/>
      <c r="T32" s="856"/>
      <c r="U32" s="856"/>
    </row>
    <row r="33" spans="11:21">
      <c r="K33" s="848"/>
      <c r="L33" s="856"/>
      <c r="M33" s="74"/>
      <c r="N33" s="856"/>
      <c r="O33" s="856"/>
      <c r="P33" s="856"/>
      <c r="Q33" s="856"/>
      <c r="R33" s="856"/>
      <c r="S33" s="856"/>
      <c r="T33" s="856"/>
      <c r="U33" s="856"/>
    </row>
    <row r="34" spans="11:21">
      <c r="M34" s="106"/>
    </row>
    <row r="35" spans="11:21">
      <c r="M35" s="106"/>
    </row>
    <row r="36" spans="11:21">
      <c r="M36" s="106"/>
    </row>
    <row r="37" spans="11:21">
      <c r="M37" s="106"/>
    </row>
  </sheetData>
  <sheetProtection selectLockedCells="1"/>
  <mergeCells count="23">
    <mergeCell ref="F30:G30"/>
    <mergeCell ref="F31:G31"/>
    <mergeCell ref="F32:G32"/>
    <mergeCell ref="F25:G25"/>
    <mergeCell ref="F26:G26"/>
    <mergeCell ref="F27:G27"/>
    <mergeCell ref="F28:G28"/>
    <mergeCell ref="F29:G29"/>
    <mergeCell ref="F20:G20"/>
    <mergeCell ref="F21:G21"/>
    <mergeCell ref="F22:G22"/>
    <mergeCell ref="F23:G23"/>
    <mergeCell ref="F24:G24"/>
    <mergeCell ref="A1:J1"/>
    <mergeCell ref="B2:H2"/>
    <mergeCell ref="B3:H3"/>
    <mergeCell ref="H4:I4"/>
    <mergeCell ref="A8:J8"/>
    <mergeCell ref="F11:G11"/>
    <mergeCell ref="A10:H10"/>
    <mergeCell ref="A14:I16"/>
    <mergeCell ref="F18:G18"/>
    <mergeCell ref="F19:G19"/>
  </mergeCells>
  <phoneticPr fontId="9"/>
  <conditionalFormatting sqref="K10">
    <cfRule type="cellIs" dxfId="0" priority="1" operator="equal">
      <formula>"未入力あり"</formula>
    </cfRule>
  </conditionalFormatting>
  <dataValidations count="4">
    <dataValidation allowBlank="1" showInputMessage="1" showErrorMessage="1" prompt="表紙シートの病院名を反映" sqref="H4:I4" xr:uid="{00000000-0002-0000-1B00-000000000000}"/>
    <dataValidation type="custom" imeMode="disabled" allowBlank="1" showInputMessage="1" showErrorMessage="1" error="半角で入力してください" prompt="アドレスは、手入力せずにホームページからコピーしてください" sqref="A10" xr:uid="{00000000-0002-0000-1B00-000001000000}">
      <formula1>LEN(A10)=LENB(A10)</formula1>
    </dataValidation>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
    <pageSetUpPr fitToPage="1"/>
  </sheetPr>
  <dimension ref="A1:BK25"/>
  <sheetViews>
    <sheetView view="pageBreakPreview" topLeftCell="AF1" zoomScale="59" zoomScaleNormal="50" zoomScaleSheetLayoutView="59" zoomScalePageLayoutView="50" workbookViewId="0">
      <selection activeCell="AL19" sqref="AL19"/>
    </sheetView>
  </sheetViews>
  <sheetFormatPr defaultColWidth="8.875" defaultRowHeight="14.25" outlineLevelCol="1"/>
  <cols>
    <col min="1" max="1" width="47.125" style="914" bestFit="1" customWidth="1"/>
    <col min="2" max="2" width="13.375" style="134" customWidth="1"/>
    <col min="3" max="3" width="13.375" style="915" customWidth="1"/>
    <col min="4" max="4" width="13.375" style="134" customWidth="1"/>
    <col min="5" max="5" width="14.375" style="134" bestFit="1" customWidth="1"/>
    <col min="6" max="6" width="15.625" style="134" customWidth="1" outlineLevel="1"/>
    <col min="7" max="7" width="9.375" style="134" customWidth="1" outlineLevel="1"/>
    <col min="8" max="8" width="11.375" style="134" customWidth="1" outlineLevel="1"/>
    <col min="9" max="9" width="10.125" style="134" customWidth="1" outlineLevel="1"/>
    <col min="10" max="10" width="12.625" style="134" customWidth="1" outlineLevel="1"/>
    <col min="11" max="11" width="11.125" style="134" customWidth="1" outlineLevel="1"/>
    <col min="12" max="12" width="10.125" style="134" customWidth="1" outlineLevel="1"/>
    <col min="13" max="13" width="9.375" style="134" customWidth="1" outlineLevel="1"/>
    <col min="14" max="14" width="10" style="134" customWidth="1" outlineLevel="1"/>
    <col min="15" max="16" width="10.625" style="134" customWidth="1" outlineLevel="1"/>
    <col min="17" max="17" width="11.125" style="134" customWidth="1" outlineLevel="1"/>
    <col min="18" max="22" width="11.625" style="134" customWidth="1" outlineLevel="1"/>
    <col min="23" max="23" width="11.875" style="134" customWidth="1" outlineLevel="1"/>
    <col min="24" max="24" width="11" style="134" customWidth="1" outlineLevel="1"/>
    <col min="25" max="25" width="9.125" style="134" customWidth="1" outlineLevel="1"/>
    <col min="26" max="26" width="12" style="134" customWidth="1" outlineLevel="1"/>
    <col min="27" max="27" width="11.5" style="134" customWidth="1" outlineLevel="1"/>
    <col min="28" max="28" width="14.625" style="134" customWidth="1"/>
    <col min="29" max="42" width="11.5" style="134" customWidth="1" outlineLevel="1"/>
    <col min="43" max="43" width="15.125" style="134" customWidth="1"/>
    <col min="44" max="47" width="13.125" style="134" customWidth="1" outlineLevel="1"/>
    <col min="48" max="48" width="13.125" style="134" customWidth="1"/>
    <col min="49" max="53" width="13.125" style="134" customWidth="1" outlineLevel="1"/>
    <col min="54" max="54" width="11.375" style="134" customWidth="1"/>
    <col min="55" max="55" width="11.125" style="134" customWidth="1"/>
    <col min="56" max="56" width="12" style="134" customWidth="1"/>
    <col min="57" max="57" width="11.75" style="134" customWidth="1"/>
    <col min="58" max="58" width="12" style="134" customWidth="1"/>
    <col min="59" max="59" width="13" style="134" customWidth="1"/>
    <col min="60" max="60" width="11.375" style="134" customWidth="1"/>
    <col min="61" max="61" width="12" style="134" customWidth="1"/>
    <col min="62" max="62" width="11.125" style="134" customWidth="1"/>
    <col min="63" max="16384" width="8.875" style="134"/>
  </cols>
  <sheetData>
    <row r="1" spans="1:63" ht="42.6" customHeight="1" thickBot="1">
      <c r="A1" s="1883" t="s">
        <v>1718</v>
      </c>
      <c r="B1" s="1883"/>
      <c r="C1" s="1883"/>
      <c r="D1" s="1883"/>
      <c r="E1" s="1883"/>
      <c r="F1" s="1883"/>
      <c r="G1" s="1883"/>
      <c r="H1" s="1883"/>
      <c r="I1" s="1883"/>
      <c r="J1" s="1883"/>
      <c r="K1" s="895"/>
      <c r="L1" s="895"/>
      <c r="M1" s="895"/>
      <c r="N1" s="895"/>
      <c r="O1" s="898"/>
      <c r="P1" s="898"/>
      <c r="Q1" s="898"/>
      <c r="R1" s="898"/>
      <c r="S1" s="898"/>
      <c r="T1" s="898"/>
      <c r="U1" s="898"/>
      <c r="V1" s="898"/>
      <c r="W1" s="898"/>
      <c r="X1" s="898"/>
      <c r="Y1" s="898"/>
      <c r="Z1" s="898"/>
      <c r="AA1" s="898"/>
      <c r="AB1" s="898"/>
      <c r="AC1" s="898"/>
      <c r="AD1" s="898"/>
      <c r="AE1" s="898"/>
      <c r="AF1" s="898"/>
      <c r="AG1" s="898"/>
      <c r="AH1" s="898"/>
      <c r="AI1" s="898"/>
      <c r="AJ1" s="898"/>
      <c r="AK1" s="898"/>
      <c r="AL1" s="898"/>
      <c r="AM1" s="898"/>
      <c r="AN1" s="898"/>
      <c r="AO1" s="898"/>
      <c r="AP1" s="898"/>
      <c r="AQ1" s="898"/>
      <c r="AR1" s="898"/>
      <c r="AS1" s="898"/>
      <c r="AT1" s="898"/>
      <c r="AU1" s="898"/>
      <c r="AV1" s="898"/>
      <c r="AW1" s="898"/>
      <c r="AX1" s="898"/>
      <c r="AY1" s="898"/>
      <c r="AZ1" s="898"/>
      <c r="BA1" s="898"/>
    </row>
    <row r="2" spans="1:63" ht="49.9" customHeight="1" thickBot="1">
      <c r="A2"/>
      <c r="B2" s="1324" t="s">
        <v>1238</v>
      </c>
      <c r="C2" s="1324"/>
      <c r="D2" s="1324"/>
      <c r="E2" s="1324"/>
      <c r="F2" s="1324"/>
      <c r="G2" s="1324"/>
      <c r="H2" s="1324"/>
      <c r="I2" s="847" t="str">
        <f>IF(ISBLANK(A9),"未入力あり","入力済")</f>
        <v>入力済</v>
      </c>
      <c r="J2"/>
      <c r="K2" s="895"/>
      <c r="L2" s="895"/>
      <c r="M2" s="895"/>
      <c r="N2" s="895"/>
      <c r="O2" s="898"/>
      <c r="P2" s="898"/>
      <c r="Q2" s="898"/>
      <c r="R2" s="898"/>
      <c r="S2" s="898"/>
      <c r="T2" s="898"/>
      <c r="U2" s="898"/>
      <c r="V2" s="898"/>
      <c r="W2" s="898"/>
      <c r="X2" s="898"/>
      <c r="Y2" s="898"/>
      <c r="Z2" s="898"/>
      <c r="AA2" s="898"/>
      <c r="AB2" s="898"/>
      <c r="AC2" s="898"/>
      <c r="AD2" s="898"/>
      <c r="AE2" s="898"/>
      <c r="AF2" s="898"/>
      <c r="AG2" s="898"/>
      <c r="AH2" s="898"/>
      <c r="AI2" s="898"/>
      <c r="AJ2" s="898"/>
      <c r="AK2" s="898"/>
      <c r="AL2" s="898"/>
      <c r="AM2" s="898"/>
      <c r="AN2" s="898"/>
      <c r="AO2" s="898"/>
      <c r="AP2" s="898"/>
      <c r="AQ2" s="898"/>
      <c r="AR2" s="898"/>
      <c r="AS2" s="898"/>
      <c r="AT2" s="898"/>
      <c r="AU2" s="898"/>
      <c r="AV2" s="898"/>
      <c r="AW2" s="898"/>
      <c r="AX2" s="898"/>
      <c r="AY2" s="898"/>
      <c r="AZ2" s="898"/>
      <c r="BA2" s="898"/>
    </row>
    <row r="3" spans="1:63" ht="134.44999999999999" customHeight="1" thickBot="1">
      <c r="A3" s="1881" t="s">
        <v>1786</v>
      </c>
      <c r="B3" s="1882"/>
      <c r="C3" s="1882"/>
      <c r="D3" s="1882"/>
      <c r="E3" s="1882"/>
      <c r="F3" s="1882"/>
      <c r="G3" s="1882"/>
      <c r="H3" s="1882"/>
      <c r="I3" s="1882"/>
      <c r="J3" s="1882"/>
      <c r="O3" s="899"/>
      <c r="P3" s="899"/>
      <c r="Q3" s="899"/>
      <c r="R3" s="899"/>
      <c r="S3" s="899"/>
      <c r="T3" s="899"/>
      <c r="U3" s="899"/>
      <c r="V3" s="899"/>
      <c r="W3" s="899"/>
      <c r="X3" s="899"/>
      <c r="Y3" s="899"/>
      <c r="Z3" s="899"/>
      <c r="AA3" s="899"/>
      <c r="AB3" s="899"/>
      <c r="AC3" s="899"/>
      <c r="AD3" s="899"/>
      <c r="AE3" s="899"/>
      <c r="AF3" s="899"/>
      <c r="AG3" s="899"/>
      <c r="AH3" s="899"/>
      <c r="AI3" s="899"/>
      <c r="AJ3" s="899"/>
      <c r="AK3" s="899"/>
      <c r="AL3" s="899"/>
      <c r="AM3" s="899"/>
      <c r="AN3" s="899"/>
      <c r="AO3" s="899"/>
      <c r="AP3" s="899"/>
      <c r="AQ3" s="899"/>
      <c r="AR3" s="899"/>
      <c r="AS3" s="899"/>
      <c r="AT3" s="899"/>
      <c r="AU3" s="899"/>
      <c r="AV3" s="899"/>
      <c r="AW3" s="899"/>
      <c r="AX3" s="899"/>
      <c r="AY3" s="899"/>
      <c r="AZ3" s="899"/>
      <c r="BA3" s="899"/>
      <c r="BB3" s="899"/>
      <c r="BC3" s="899"/>
      <c r="BD3" s="899"/>
      <c r="BE3" s="899"/>
      <c r="BF3" s="899"/>
      <c r="BG3" s="899"/>
      <c r="BH3" s="899"/>
      <c r="BI3" s="899"/>
      <c r="BJ3" s="899"/>
      <c r="BK3" s="899"/>
    </row>
    <row r="4" spans="1:63" s="905" customFormat="1" ht="36.75" customHeight="1" thickBot="1">
      <c r="A4" s="1916" t="s">
        <v>1386</v>
      </c>
      <c r="B4" s="1903" t="s">
        <v>1387</v>
      </c>
      <c r="C4" s="1918"/>
      <c r="D4" s="900" t="s">
        <v>1388</v>
      </c>
      <c r="E4" s="1919" t="s">
        <v>1483</v>
      </c>
      <c r="F4" s="1919"/>
      <c r="G4" s="1919"/>
      <c r="H4" s="1919"/>
      <c r="I4" s="1919"/>
      <c r="J4" s="1919"/>
      <c r="K4" s="1919"/>
      <c r="L4" s="1919"/>
      <c r="M4" s="1919"/>
      <c r="N4" s="1919"/>
      <c r="O4" s="1919"/>
      <c r="P4" s="1919"/>
      <c r="Q4" s="1919"/>
      <c r="R4" s="1919"/>
      <c r="S4" s="1919"/>
      <c r="T4" s="1919"/>
      <c r="U4" s="1919"/>
      <c r="V4" s="1919"/>
      <c r="W4" s="1919"/>
      <c r="X4" s="1919"/>
      <c r="Y4" s="1919"/>
      <c r="Z4" s="1919"/>
      <c r="AA4" s="1919"/>
      <c r="AB4" s="1919"/>
      <c r="AC4" s="1919"/>
      <c r="AD4" s="1919"/>
      <c r="AE4" s="1919"/>
      <c r="AF4" s="1919"/>
      <c r="AG4" s="1919"/>
      <c r="AH4" s="1919"/>
      <c r="AI4" s="1919"/>
      <c r="AJ4" s="901"/>
      <c r="AK4" s="1920" t="s">
        <v>1389</v>
      </c>
      <c r="AL4" s="1904"/>
      <c r="AM4" s="1904"/>
      <c r="AN4" s="1904"/>
      <c r="AO4" s="1904"/>
      <c r="AP4" s="1904"/>
      <c r="AQ4" s="1904"/>
      <c r="AR4" s="1904"/>
      <c r="AS4" s="1904"/>
      <c r="AT4" s="1904"/>
      <c r="AU4" s="1904"/>
      <c r="AV4" s="1904"/>
      <c r="AW4" s="1904"/>
      <c r="AX4" s="1904"/>
      <c r="AY4" s="1904"/>
      <c r="AZ4" s="1905"/>
      <c r="BA4" s="902" t="s">
        <v>859</v>
      </c>
      <c r="BB4" s="1901" t="s">
        <v>1390</v>
      </c>
      <c r="BC4" s="1902"/>
      <c r="BD4" s="1902"/>
      <c r="BE4" s="1902"/>
      <c r="BF4" s="903" t="s">
        <v>1391</v>
      </c>
      <c r="BG4" s="1903" t="s">
        <v>1392</v>
      </c>
      <c r="BH4" s="1904"/>
      <c r="BI4" s="1904"/>
      <c r="BJ4" s="1905"/>
      <c r="BK4" s="904" t="s">
        <v>1393</v>
      </c>
    </row>
    <row r="5" spans="1:63" s="905" customFormat="1" ht="66.75" customHeight="1" thickTop="1" thickBot="1">
      <c r="A5" s="1917"/>
      <c r="B5" s="1906" t="s">
        <v>1484</v>
      </c>
      <c r="C5" s="1908" t="s">
        <v>1485</v>
      </c>
      <c r="D5" s="1908" t="s">
        <v>1394</v>
      </c>
      <c r="E5" s="1908" t="s">
        <v>1486</v>
      </c>
      <c r="F5" s="1911" t="s">
        <v>1395</v>
      </c>
      <c r="G5" s="1895"/>
      <c r="H5" s="1912"/>
      <c r="I5" s="1913" t="s">
        <v>1396</v>
      </c>
      <c r="J5" s="1914"/>
      <c r="K5" s="1914"/>
      <c r="L5" s="1914"/>
      <c r="M5" s="1915"/>
      <c r="N5" s="1913" t="s">
        <v>1397</v>
      </c>
      <c r="O5" s="1914"/>
      <c r="P5" s="1914"/>
      <c r="Q5" s="1915"/>
      <c r="R5" s="1913" t="s">
        <v>1398</v>
      </c>
      <c r="S5" s="1914"/>
      <c r="T5" s="1914"/>
      <c r="U5" s="1914"/>
      <c r="V5" s="1915"/>
      <c r="W5" s="1911" t="s">
        <v>1399</v>
      </c>
      <c r="X5" s="1895"/>
      <c r="Y5" s="1895"/>
      <c r="Z5" s="1895"/>
      <c r="AA5" s="1921"/>
      <c r="AB5" s="1911" t="s">
        <v>1487</v>
      </c>
      <c r="AC5" s="1895"/>
      <c r="AD5" s="906"/>
      <c r="AE5" s="1922" t="s">
        <v>1488</v>
      </c>
      <c r="AF5" s="1923"/>
      <c r="AG5" s="1223" t="s">
        <v>1489</v>
      </c>
      <c r="AH5" s="1897" t="s">
        <v>1490</v>
      </c>
      <c r="AI5" s="1897"/>
      <c r="AJ5" s="1222"/>
      <c r="AK5" s="1892" t="s">
        <v>1400</v>
      </c>
      <c r="AL5" s="1894" t="s">
        <v>1401</v>
      </c>
      <c r="AM5" s="1895"/>
      <c r="AN5" s="1895"/>
      <c r="AO5" s="1895"/>
      <c r="AP5" s="1895"/>
      <c r="AQ5" s="1895"/>
      <c r="AR5" s="1896"/>
      <c r="AS5" s="1894" t="s">
        <v>1402</v>
      </c>
      <c r="AT5" s="1895"/>
      <c r="AU5" s="1895"/>
      <c r="AV5" s="1895"/>
      <c r="AW5" s="1895"/>
      <c r="AX5" s="1895"/>
      <c r="AY5" s="1895"/>
      <c r="AZ5" s="1896"/>
      <c r="BA5" s="1226" t="s">
        <v>1403</v>
      </c>
      <c r="BB5" s="1897" t="s">
        <v>1404</v>
      </c>
      <c r="BC5" s="1897" t="s">
        <v>1405</v>
      </c>
      <c r="BD5" s="1897"/>
      <c r="BE5" s="1897"/>
      <c r="BF5" s="1899" t="s">
        <v>1491</v>
      </c>
      <c r="BG5" s="1911" t="s">
        <v>1492</v>
      </c>
      <c r="BH5" s="1912"/>
      <c r="BI5" s="1911" t="s">
        <v>1493</v>
      </c>
      <c r="BJ5" s="1895"/>
      <c r="BK5" s="1884" t="s">
        <v>1406</v>
      </c>
    </row>
    <row r="6" spans="1:63" s="905" customFormat="1" ht="86.25">
      <c r="A6" s="1917"/>
      <c r="B6" s="1907"/>
      <c r="C6" s="1909"/>
      <c r="D6" s="1909"/>
      <c r="E6" s="1910"/>
      <c r="F6" s="1886" t="s">
        <v>1407</v>
      </c>
      <c r="G6" s="1886" t="s">
        <v>1494</v>
      </c>
      <c r="H6" s="1888"/>
      <c r="I6" s="907" t="s">
        <v>1409</v>
      </c>
      <c r="J6" s="1886" t="s">
        <v>1410</v>
      </c>
      <c r="K6" s="1888"/>
      <c r="L6" s="907" t="s">
        <v>1411</v>
      </c>
      <c r="M6" s="907" t="s">
        <v>1412</v>
      </c>
      <c r="N6" s="907" t="s">
        <v>1413</v>
      </c>
      <c r="O6" s="1886" t="s">
        <v>1414</v>
      </c>
      <c r="P6" s="1888"/>
      <c r="Q6" s="907" t="s">
        <v>1415</v>
      </c>
      <c r="R6" s="907" t="s">
        <v>1413</v>
      </c>
      <c r="S6" s="1886" t="s">
        <v>1416</v>
      </c>
      <c r="T6" s="1888"/>
      <c r="U6" s="907" t="s">
        <v>1417</v>
      </c>
      <c r="V6" s="907" t="s">
        <v>1418</v>
      </c>
      <c r="W6" s="907" t="s">
        <v>1419</v>
      </c>
      <c r="X6" s="907" t="s">
        <v>1420</v>
      </c>
      <c r="Y6" s="907" t="s">
        <v>1421</v>
      </c>
      <c r="Z6" s="907" t="s">
        <v>1422</v>
      </c>
      <c r="AA6" s="907" t="s">
        <v>1495</v>
      </c>
      <c r="AB6" s="907" t="s">
        <v>1496</v>
      </c>
      <c r="AC6" s="1887" t="s">
        <v>1497</v>
      </c>
      <c r="AD6" s="1889"/>
      <c r="AE6" s="908" t="s">
        <v>1407</v>
      </c>
      <c r="AF6" s="908" t="s">
        <v>1408</v>
      </c>
      <c r="AG6" s="908" t="s">
        <v>1407</v>
      </c>
      <c r="AH6" s="909" t="s">
        <v>1496</v>
      </c>
      <c r="AI6" s="1890" t="s">
        <v>1497</v>
      </c>
      <c r="AJ6" s="1891"/>
      <c r="AK6" s="1893"/>
      <c r="AL6" s="1218" t="s">
        <v>1423</v>
      </c>
      <c r="AM6" s="907" t="s">
        <v>1424</v>
      </c>
      <c r="AN6" s="907" t="s">
        <v>1425</v>
      </c>
      <c r="AO6" s="907" t="s">
        <v>1426</v>
      </c>
      <c r="AP6" s="907" t="s">
        <v>1427</v>
      </c>
      <c r="AQ6" s="907" t="s">
        <v>1428</v>
      </c>
      <c r="AR6" s="907" t="s">
        <v>1429</v>
      </c>
      <c r="AS6" s="907" t="s">
        <v>1430</v>
      </c>
      <c r="AT6" s="907" t="s">
        <v>1431</v>
      </c>
      <c r="AU6" s="907" t="s">
        <v>1432</v>
      </c>
      <c r="AV6" s="907" t="s">
        <v>1433</v>
      </c>
      <c r="AW6" s="1217" t="s">
        <v>1498</v>
      </c>
      <c r="AX6" s="1217" t="s">
        <v>1434</v>
      </c>
      <c r="AY6" s="1217" t="s">
        <v>1499</v>
      </c>
      <c r="AZ6" s="1217" t="s">
        <v>1500</v>
      </c>
      <c r="BA6" s="910"/>
      <c r="BB6" s="1898"/>
      <c r="BC6" s="1224" t="s">
        <v>1435</v>
      </c>
      <c r="BD6" s="1224" t="s">
        <v>1436</v>
      </c>
      <c r="BE6" s="911" t="s">
        <v>1437</v>
      </c>
      <c r="BF6" s="1900"/>
      <c r="BG6" s="908" t="s">
        <v>1501</v>
      </c>
      <c r="BH6" s="908" t="s">
        <v>1502</v>
      </c>
      <c r="BI6" s="908" t="s">
        <v>1503</v>
      </c>
      <c r="BJ6" s="1219" t="s">
        <v>1502</v>
      </c>
      <c r="BK6" s="1885"/>
    </row>
    <row r="7" spans="1:63" s="905" customFormat="1" ht="51.75">
      <c r="A7" s="1225"/>
      <c r="B7" s="906"/>
      <c r="C7" s="906"/>
      <c r="D7" s="906"/>
      <c r="E7" s="906"/>
      <c r="F7" s="1887"/>
      <c r="G7" s="1220"/>
      <c r="H7" s="1227" t="s">
        <v>1504</v>
      </c>
      <c r="I7" s="908"/>
      <c r="J7" s="1221"/>
      <c r="K7" s="1227" t="s">
        <v>1504</v>
      </c>
      <c r="L7" s="1221"/>
      <c r="M7" s="1221"/>
      <c r="N7" s="1221"/>
      <c r="O7" s="1221"/>
      <c r="P7" s="1227" t="s">
        <v>1504</v>
      </c>
      <c r="Q7" s="1221"/>
      <c r="R7" s="1221"/>
      <c r="S7" s="1221"/>
      <c r="T7" s="1227" t="s">
        <v>1504</v>
      </c>
      <c r="U7" s="1221"/>
      <c r="V7" s="1221"/>
      <c r="W7" s="1221"/>
      <c r="X7" s="1221"/>
      <c r="Y7" s="1221"/>
      <c r="Z7" s="1221"/>
      <c r="AA7" s="1221"/>
      <c r="AB7" s="1221"/>
      <c r="AC7" s="1221"/>
      <c r="AD7" s="1227" t="s">
        <v>1504</v>
      </c>
      <c r="AE7" s="1221"/>
      <c r="AF7" s="1221"/>
      <c r="AG7" s="1221"/>
      <c r="AH7" s="1228"/>
      <c r="AI7" s="1221"/>
      <c r="AJ7" s="1227" t="s">
        <v>1504</v>
      </c>
      <c r="AK7" s="906"/>
      <c r="AL7" s="1221"/>
      <c r="AM7" s="1221"/>
      <c r="AN7" s="1221"/>
      <c r="AO7" s="1221"/>
      <c r="AP7" s="1221"/>
      <c r="AQ7" s="1221"/>
      <c r="AR7" s="1221"/>
      <c r="AS7" s="1221"/>
      <c r="AT7" s="1221"/>
      <c r="AU7" s="1221"/>
      <c r="AV7" s="1221"/>
      <c r="AW7" s="1221"/>
      <c r="AX7" s="1221"/>
      <c r="AY7" s="1221"/>
      <c r="AZ7" s="1221"/>
      <c r="BA7" s="912"/>
      <c r="BB7" s="906"/>
      <c r="BC7" s="906"/>
      <c r="BD7" s="906"/>
      <c r="BE7" s="906"/>
      <c r="BF7" s="906"/>
      <c r="BG7" s="1221"/>
      <c r="BH7" s="1221"/>
      <c r="BI7" s="1221"/>
      <c r="BJ7" s="1221"/>
      <c r="BK7" s="913"/>
    </row>
    <row r="8" spans="1:63" ht="40.5" customHeight="1" thickBot="1">
      <c r="A8" s="1229" t="str">
        <f>表紙!E2</f>
        <v>パナソニック健康保険組合　松下記念病院</v>
      </c>
      <c r="B8" s="1230">
        <f>'様式4（全般事項）'!R209</f>
        <v>1548</v>
      </c>
      <c r="C8" s="1231">
        <f>'様式4（全般事項）'!R210</f>
        <v>23.125186734389004</v>
      </c>
      <c r="D8" s="1230">
        <f>'様式４(機能別)'!J212</f>
        <v>766</v>
      </c>
      <c r="E8" s="1230">
        <f>'様式４(機能別)'!J213</f>
        <v>371</v>
      </c>
      <c r="F8" s="1230">
        <f>'様式4（全般事項）'!R231</f>
        <v>0</v>
      </c>
      <c r="G8" s="1230">
        <f>'様式4（全般事項）'!R232</f>
        <v>31</v>
      </c>
      <c r="H8" s="1230">
        <f>'様式4（全般事項）'!R233</f>
        <v>0</v>
      </c>
      <c r="I8" s="1230">
        <f>'様式4（全般事項）'!R235</f>
        <v>5</v>
      </c>
      <c r="J8" s="1230">
        <f>'様式4（全般事項）'!R236</f>
        <v>27</v>
      </c>
      <c r="K8" s="1230">
        <f>'様式4（全般事項）'!R237</f>
        <v>19</v>
      </c>
      <c r="L8" s="1230">
        <f>'様式4（全般事項）'!R238</f>
        <v>0</v>
      </c>
      <c r="M8" s="1230">
        <f>'様式4（全般事項）'!R239</f>
        <v>42</v>
      </c>
      <c r="N8" s="1230">
        <f>'様式4（全般事項）'!R226</f>
        <v>2</v>
      </c>
      <c r="O8" s="1230">
        <f>'様式4（全般事項）'!R227</f>
        <v>62</v>
      </c>
      <c r="P8" s="1230">
        <f>'様式4（全般事項）'!R228</f>
        <v>6</v>
      </c>
      <c r="Q8" s="1230">
        <f>'様式4（全般事項）'!R229</f>
        <v>9</v>
      </c>
      <c r="R8" s="1230">
        <f>'様式4（全般事項）'!R251</f>
        <v>6</v>
      </c>
      <c r="S8" s="1230">
        <f>'様式4（全般事項）'!R252</f>
        <v>1</v>
      </c>
      <c r="T8" s="1230">
        <f>'様式4（全般事項）'!R253</f>
        <v>0</v>
      </c>
      <c r="U8" s="1230">
        <f>'様式4（全般事項）'!R254</f>
        <v>18</v>
      </c>
      <c r="V8" s="1230">
        <f>'様式4（全般事項）'!R255</f>
        <v>1</v>
      </c>
      <c r="W8" s="1230">
        <f>'様式4（全般事項）'!R241</f>
        <v>81</v>
      </c>
      <c r="X8" s="1230">
        <f>'様式4（全般事項）'!R242</f>
        <v>0</v>
      </c>
      <c r="Y8" s="1230">
        <f>'様式4（全般事項）'!R243</f>
        <v>2</v>
      </c>
      <c r="Z8" s="1230">
        <f>'様式4（全般事項）'!R244</f>
        <v>0</v>
      </c>
      <c r="AA8" s="1230">
        <f>'様式4（全般事項）'!R245</f>
        <v>1</v>
      </c>
      <c r="AB8" s="1230">
        <f>'様式4（全般事項）'!R247</f>
        <v>0</v>
      </c>
      <c r="AC8" s="1230">
        <f>'様式4（全般事項）'!R248</f>
        <v>20</v>
      </c>
      <c r="AD8" s="1230">
        <f>'様式4（全般事項）'!R249</f>
        <v>19</v>
      </c>
      <c r="AE8" s="1230">
        <f>'様式4（全般事項）'!R257</f>
        <v>2</v>
      </c>
      <c r="AF8" s="1230">
        <f>'様式4（全般事項）'!R258</f>
        <v>1</v>
      </c>
      <c r="AG8" s="1230">
        <f>'様式4（全般事項）'!R260</f>
        <v>1</v>
      </c>
      <c r="AH8" s="1230">
        <f>'様式4（全般事項）'!R262</f>
        <v>5</v>
      </c>
      <c r="AI8" s="1230">
        <f>'様式4（全般事項）'!R263</f>
        <v>0</v>
      </c>
      <c r="AJ8" s="1230">
        <f>'様式4（全般事項）'!R264</f>
        <v>0</v>
      </c>
      <c r="AK8" s="1232">
        <v>228</v>
      </c>
      <c r="AL8" s="1230">
        <f>'様式4（全般事項）'!R268</f>
        <v>228</v>
      </c>
      <c r="AM8" s="1230">
        <f>'様式4（全般事項）'!R269</f>
        <v>9</v>
      </c>
      <c r="AN8" s="1230">
        <f>'様式4（全般事項）'!R270</f>
        <v>25</v>
      </c>
      <c r="AO8" s="1230">
        <f>'様式4（全般事項）'!R271</f>
        <v>33</v>
      </c>
      <c r="AP8" s="1230">
        <f>'様式4（全般事項）'!R272</f>
        <v>0</v>
      </c>
      <c r="AQ8" s="1230">
        <f>'様式4（全般事項）'!R273</f>
        <v>0</v>
      </c>
      <c r="AR8" s="1230">
        <f>'様式4（全般事項）'!R274</f>
        <v>0</v>
      </c>
      <c r="AS8" s="1230">
        <f>'様式4（全般事項）'!R277</f>
        <v>59</v>
      </c>
      <c r="AT8" s="1230">
        <f>'様式4（全般事項）'!R278</f>
        <v>2</v>
      </c>
      <c r="AU8" s="1230">
        <f>'様式4（全般事項）'!R279</f>
        <v>4</v>
      </c>
      <c r="AV8" s="1230">
        <f>'様式4（全般事項）'!R280</f>
        <v>4</v>
      </c>
      <c r="AW8" s="1230">
        <f>'様式4（全般事項）'!R283</f>
        <v>4</v>
      </c>
      <c r="AX8" s="1230">
        <f>'様式4（全般事項）'!R284</f>
        <v>3</v>
      </c>
      <c r="AY8" s="1230">
        <f>'様式4（全般事項）'!R281</f>
        <v>53</v>
      </c>
      <c r="AZ8" s="1230">
        <f>'様式4（全般事項）'!R282</f>
        <v>37</v>
      </c>
      <c r="BA8" s="1230">
        <f>'様式４(機能別)'!J214</f>
        <v>970</v>
      </c>
      <c r="BB8" s="1230">
        <f>'様式４(機能別)'!J216</f>
        <v>109</v>
      </c>
      <c r="BC8" s="1230">
        <f>'様式4（全般事項）'!R286</f>
        <v>108</v>
      </c>
      <c r="BD8" s="1230">
        <f>'様式4（全般事項）'!R287</f>
        <v>37</v>
      </c>
      <c r="BE8" s="1230">
        <f>'様式4（全般事項）'!R288</f>
        <v>58</v>
      </c>
      <c r="BF8" s="1230">
        <f>別紙11相談内容!C8</f>
        <v>1995</v>
      </c>
      <c r="BG8" s="1232">
        <v>244</v>
      </c>
      <c r="BH8" s="1230">
        <f>BG8*12</f>
        <v>2928</v>
      </c>
      <c r="BI8" s="1232">
        <v>215</v>
      </c>
      <c r="BJ8" s="1230">
        <f>BI8*12</f>
        <v>2580</v>
      </c>
      <c r="BK8" s="1231">
        <f>'様式４(機能別)'!J217</f>
        <v>6</v>
      </c>
    </row>
    <row r="9" spans="1:63" ht="76.150000000000006" customHeight="1" thickBot="1">
      <c r="A9" s="1034">
        <v>15</v>
      </c>
      <c r="B9" s="1230">
        <f>IFERROR(VLOOKUP(別紙22診療実績とりまとめ!$A$9,前年度診療実績!$A$7:$BL$71,3,TRUE),"")</f>
        <v>1616</v>
      </c>
      <c r="C9" s="1233">
        <f>IFERROR(VLOOKUP(別紙22診療実績とりまとめ!$A$9,前年度診療実績!$A$7:$BL$71,4,TRUE),"")</f>
        <v>24.50712769184107</v>
      </c>
      <c r="D9" s="1230">
        <f>IFERROR(VLOOKUP(別紙22診療実績とりまとめ!$A$9,前年度診療実績!$A$7:$BL$71,5,TRUE),"")</f>
        <v>726</v>
      </c>
      <c r="E9" s="1230">
        <f>IFERROR(VLOOKUP(別紙22診療実績とりまとめ!$A$9,前年度診療実績!$A$7:$BL$71,6,TRUE),"")</f>
        <v>397</v>
      </c>
      <c r="F9" s="1230">
        <f>IFERROR(VLOOKUP(別紙22診療実績とりまとめ!$A$9,前年度診療実績!$A$7:$BL$71,7,TRUE),"")</f>
        <v>2</v>
      </c>
      <c r="G9" s="1230">
        <f>IFERROR(VLOOKUP(別紙22診療実績とりまとめ!$A$9,前年度診療実績!$A$7:$BL$71,8,TRUE),"")</f>
        <v>21</v>
      </c>
      <c r="H9" s="1230">
        <f>IFERROR(VLOOKUP(別紙22診療実績とりまとめ!$A$9,前年度診療実績!$A$7:$BL$71,9,TRUE),"")</f>
        <v>0</v>
      </c>
      <c r="I9" s="1230">
        <f>IFERROR(VLOOKUP(別紙22診療実績とりまとめ!$A$9,前年度診療実績!$A$7:$BL$71,10,TRUE),"")</f>
        <v>5</v>
      </c>
      <c r="J9" s="1230">
        <f>IFERROR(VLOOKUP(別紙22診療実績とりまとめ!$A$9,前年度診療実績!$A$7:$BL$71,11,TRUE),"")</f>
        <v>21</v>
      </c>
      <c r="K9" s="1230">
        <f>IFERROR(VLOOKUP(別紙22診療実績とりまとめ!$A$9,前年度診療実績!$A$7:$BL$71,12,TRUE),"")</f>
        <v>3</v>
      </c>
      <c r="L9" s="1230">
        <f>IFERROR(VLOOKUP(別紙22診療実績とりまとめ!$A$9,前年度診療実績!$A$7:$BL$71,13,TRUE),"")</f>
        <v>0</v>
      </c>
      <c r="M9" s="1230">
        <f>IFERROR(VLOOKUP(別紙22診療実績とりまとめ!$A$9,前年度診療実績!$A$7:$BL$71,14,TRUE),"")</f>
        <v>36</v>
      </c>
      <c r="N9" s="1230">
        <f>IFERROR(VLOOKUP(別紙22診療実績とりまとめ!$A$9,前年度診療実績!$A$7:$BL$71,15,TRUE),"")</f>
        <v>9</v>
      </c>
      <c r="O9" s="1230">
        <f>IFERROR(VLOOKUP(別紙22診療実績とりまとめ!$A$9,前年度診療実績!$A$7:$BL$71,16,TRUE),"")</f>
        <v>59</v>
      </c>
      <c r="P9" s="1230">
        <f>IFERROR(VLOOKUP(別紙22診療実績とりまとめ!$A$9,前年度診療実績!$A$7:$BL$71,17,TRUE),"")</f>
        <v>18</v>
      </c>
      <c r="Q9" s="1230">
        <f>IFERROR(VLOOKUP(別紙22診療実績とりまとめ!$A$9,前年度診療実績!$A$7:$BL$71,18,TRUE),"")</f>
        <v>4</v>
      </c>
      <c r="R9" s="1230">
        <f>IFERROR(VLOOKUP(別紙22診療実績とりまとめ!$A$9,前年度診療実績!$A$7:$BL$71,19,TRUE),"")</f>
        <v>9</v>
      </c>
      <c r="S9" s="1230">
        <f>IFERROR(VLOOKUP(別紙22診療実績とりまとめ!$A$9,前年度診療実績!$A$7:$BL$71,20,TRUE),"")</f>
        <v>0</v>
      </c>
      <c r="T9" s="1230">
        <f>IFERROR(VLOOKUP(別紙22診療実績とりまとめ!$A$9,前年度診療実績!$A$7:$BL$71,21,TRUE),"")</f>
        <v>0</v>
      </c>
      <c r="U9" s="1230">
        <f>IFERROR(VLOOKUP(別紙22診療実績とりまとめ!$A$9,前年度診療実績!$A$7:$BL$71,22,TRUE),"")</f>
        <v>10</v>
      </c>
      <c r="V9" s="1230">
        <f>IFERROR(VLOOKUP(別紙22診療実績とりまとめ!$A$9,前年度診療実績!$A$7:$BL$71,23,TRUE),"")</f>
        <v>4</v>
      </c>
      <c r="W9" s="1230">
        <f>IFERROR(VLOOKUP(別紙22診療実績とりまとめ!$A$9,前年度診療実績!$A$7:$BL$71,24,TRUE),"")</f>
        <v>86</v>
      </c>
      <c r="X9" s="1230">
        <f>IFERROR(VLOOKUP(別紙22診療実績とりまとめ!$A$9,前年度診療実績!$A$7:$BL$71,25,TRUE),"")</f>
        <v>0</v>
      </c>
      <c r="Y9" s="1230">
        <f>IFERROR(VLOOKUP(別紙22診療実績とりまとめ!$A$9,前年度診療実績!$A$7:$BL$71,26,TRUE),"")</f>
        <v>0</v>
      </c>
      <c r="Z9" s="1230">
        <f>IFERROR(VLOOKUP(別紙22診療実績とりまとめ!$A$9,前年度診療実績!$A$7:$BL$71,27,TRUE),"")</f>
        <v>0</v>
      </c>
      <c r="AA9" s="1230">
        <f>IFERROR(VLOOKUP(別紙22診療実績とりまとめ!$A$9,前年度診療実績!$A$7:$BL$71,28,TRUE),"")</f>
        <v>0</v>
      </c>
      <c r="AB9" s="1230">
        <f>IFERROR(VLOOKUP(別紙22診療実績とりまとめ!$A$9,前年度診療実績!$A$7:$BL$71,29,TRUE),"")</f>
        <v>0</v>
      </c>
      <c r="AC9" s="1230">
        <f>IFERROR(VLOOKUP(別紙22診療実績とりまとめ!$A$9,前年度診療実績!$A$7:$BL$71,30,TRUE),"")</f>
        <v>20</v>
      </c>
      <c r="AD9" s="1230">
        <f>IFERROR(VLOOKUP(別紙22診療実績とりまとめ!$A$9,前年度診療実績!$A$7:$BL$71,31,TRUE),"")</f>
        <v>20</v>
      </c>
      <c r="AE9" s="1230">
        <f>IFERROR(VLOOKUP(別紙22診療実績とりまとめ!$A$9,前年度診療実績!$A$7:$BL$71,32,TRUE),"")</f>
        <v>1</v>
      </c>
      <c r="AF9" s="1230">
        <f>IFERROR(VLOOKUP(別紙22診療実績とりまとめ!$A$9,前年度診療実績!$A$7:$BL$71,33,TRUE),"")</f>
        <v>0</v>
      </c>
      <c r="AG9" s="1230">
        <f>IFERROR(VLOOKUP(別紙22診療実績とりまとめ!$A$9,前年度診療実績!$A$7:$BL$71,34,TRUE),"")</f>
        <v>0</v>
      </c>
      <c r="AH9" s="1230">
        <f>IFERROR(VLOOKUP(別紙22診療実績とりまとめ!$A$9,前年度診療実績!$A$7:$BL$71,35,TRUE),"")</f>
        <v>6</v>
      </c>
      <c r="AI9" s="1230">
        <f>IFERROR(VLOOKUP(別紙22診療実績とりまとめ!$A$9,前年度診療実績!$A$7:$BL$71,36,TRUE),"")</f>
        <v>0</v>
      </c>
      <c r="AJ9" s="1230">
        <f>IFERROR(VLOOKUP(別紙22診療実績とりまとめ!$A$9,前年度診療実績!$A$7:$BL$71,37,TRUE),"")</f>
        <v>0</v>
      </c>
      <c r="AK9" s="1230">
        <f>IFERROR(VLOOKUP(別紙22診療実績とりまとめ!$A$9,前年度診療実績!$A$7:$BL$71,38,TRUE),"")</f>
        <v>237</v>
      </c>
      <c r="AL9" s="1230">
        <f>IFERROR(VLOOKUP(別紙22診療実績とりまとめ!$A$9,前年度診療実績!$A$7:$BL$71,39,TRUE),"")</f>
        <v>237</v>
      </c>
      <c r="AM9" s="1230">
        <f>IFERROR(VLOOKUP(別紙22診療実績とりまとめ!$A$9,前年度診療実績!$A$7:$BL$71,40,TRUE),"")</f>
        <v>17</v>
      </c>
      <c r="AN9" s="1230">
        <f>IFERROR(VLOOKUP(別紙22診療実績とりまとめ!$A$9,前年度診療実績!$A$7:$BL$71,41,TRUE),"")</f>
        <v>24</v>
      </c>
      <c r="AO9" s="1230">
        <f>IFERROR(VLOOKUP(別紙22診療実績とりまとめ!$A$9,前年度診療実績!$A$7:$BL$71,42,TRUE),"")</f>
        <v>16</v>
      </c>
      <c r="AP9" s="1230">
        <f>IFERROR(VLOOKUP(別紙22診療実績とりまとめ!$A$9,前年度診療実績!$A$7:$BL$71,43,TRUE),"")</f>
        <v>0</v>
      </c>
      <c r="AQ9" s="1230">
        <f>IFERROR(VLOOKUP(別紙22診療実績とりまとめ!$A$9,前年度診療実績!$A$7:$BL$71,44,TRUE),"")</f>
        <v>0</v>
      </c>
      <c r="AR9" s="1230">
        <f>IFERROR(VLOOKUP(別紙22診療実績とりまとめ!$A$9,前年度診療実績!$A$7:$BL$71,45,TRUE),"")</f>
        <v>0</v>
      </c>
      <c r="AS9" s="1230">
        <f>IFERROR(VLOOKUP(別紙22診療実績とりまとめ!$A$9,前年度診療実績!$A$7:$BL$71,46,TRUE),"")</f>
        <v>90</v>
      </c>
      <c r="AT9" s="1230">
        <f>IFERROR(VLOOKUP(別紙22診療実績とりまとめ!$A$9,前年度診療実績!$A$7:$BL$71,47,TRUE),"")</f>
        <v>1</v>
      </c>
      <c r="AU9" s="1230">
        <f>IFERROR(VLOOKUP(別紙22診療実績とりまとめ!$A$9,前年度診療実績!$A$7:$BL$71,48,TRUE),"")</f>
        <v>0</v>
      </c>
      <c r="AV9" s="1230">
        <f>IFERROR(VLOOKUP(別紙22診療実績とりまとめ!$A$9,前年度診療実績!$A$7:$BL$71,49,TRUE),"")</f>
        <v>4</v>
      </c>
      <c r="AW9" s="1230">
        <f>IFERROR(VLOOKUP(別紙22診療実績とりまとめ!$A$9,前年度診療実績!$A$7:$BL$71,50,TRUE),"")</f>
        <v>1</v>
      </c>
      <c r="AX9" s="1230">
        <f>IFERROR(VLOOKUP(別紙22診療実績とりまとめ!$A$9,前年度診療実績!$A$7:$BL$71,51,TRUE),"")</f>
        <v>3</v>
      </c>
      <c r="AY9" s="1230">
        <f>IFERROR(VLOOKUP(別紙22診療実績とりまとめ!$A$9,前年度診療実績!$A$7:$BL$71,52,TRUE),"")</f>
        <v>58</v>
      </c>
      <c r="AZ9" s="1230">
        <f>IFERROR(VLOOKUP(別紙22診療実績とりまとめ!$A$9,前年度診療実績!$A$7:$BL$71,53,TRUE),"")</f>
        <v>11</v>
      </c>
      <c r="BA9" s="1230">
        <f>IFERROR(VLOOKUP(別紙22診療実績とりまとめ!$A$9,前年度診療実績!$A$7:$BL$71,54,TRUE),"")</f>
        <v>1144</v>
      </c>
      <c r="BB9" s="1230">
        <f>IFERROR(VLOOKUP(別紙22診療実績とりまとめ!$A$9,前年度診療実績!$A$7:$BL$71,55,TRUE),"")</f>
        <v>114</v>
      </c>
      <c r="BC9" s="1230">
        <f>IFERROR(VLOOKUP(別紙22診療実績とりまとめ!$A$9,前年度診療実績!$A$7:$BL$71,56,TRUE),"")</f>
        <v>107</v>
      </c>
      <c r="BD9" s="1230">
        <f>IFERROR(VLOOKUP(別紙22診療実績とりまとめ!$A$9,前年度診療実績!$A$7:$BL$71,57,TRUE),"")</f>
        <v>34</v>
      </c>
      <c r="BE9" s="1230">
        <f>IFERROR(VLOOKUP(別紙22診療実績とりまとめ!$A$9,前年度診療実績!$A$7:$BL$71,58,TRUE),"")</f>
        <v>59</v>
      </c>
      <c r="BF9" s="1230">
        <f>IFERROR(VLOOKUP(別紙22診療実績とりまとめ!$A$9,前年度診療実績!$A$7:$BL$71,59,TRUE),"")</f>
        <v>1390</v>
      </c>
      <c r="BG9" s="1230">
        <f>IFERROR(VLOOKUP(別紙22診療実績とりまとめ!$A$9,前年度診療実績!$A$7:$BL$71,60,TRUE),"")</f>
        <v>259</v>
      </c>
      <c r="BH9" s="1230">
        <f>IFERROR(VLOOKUP(別紙22診療実績とりまとめ!$A$9,前年度診療実績!$A$7:$BL$71,61,TRUE),"")</f>
        <v>3108</v>
      </c>
      <c r="BI9" s="1230">
        <f>IFERROR(VLOOKUP(別紙22診療実績とりまとめ!$A$9,前年度診療実績!$A$7:$BL$71,62,TRUE),"")</f>
        <v>209</v>
      </c>
      <c r="BJ9" s="1230">
        <f>IFERROR(VLOOKUP(別紙22診療実績とりまとめ!$A$9,前年度診療実績!$A$7:$BL$71,63,TRUE),"")</f>
        <v>2508</v>
      </c>
      <c r="BK9" s="1230">
        <f>IFERROR(VLOOKUP(別紙22診療実績とりまとめ!$A$9,前年度診療実績!$A$7:$BL$71,64,TRUE),"")</f>
        <v>6</v>
      </c>
    </row>
    <row r="15" spans="1:63" ht="15" customHeight="1">
      <c r="C15" s="134"/>
    </row>
    <row r="16" spans="1:63">
      <c r="C16" s="134"/>
    </row>
    <row r="17" spans="3:3">
      <c r="C17" s="134"/>
    </row>
    <row r="18" spans="3:3">
      <c r="C18" s="134"/>
    </row>
    <row r="19" spans="3:3">
      <c r="C19" s="134"/>
    </row>
    <row r="20" spans="3:3">
      <c r="C20" s="134"/>
    </row>
    <row r="21" spans="3:3">
      <c r="C21" s="134"/>
    </row>
    <row r="22" spans="3:3">
      <c r="C22" s="134"/>
    </row>
    <row r="23" spans="3:3">
      <c r="C23" s="134"/>
    </row>
    <row r="24" spans="3:3">
      <c r="C24" s="134"/>
    </row>
    <row r="25" spans="3:3">
      <c r="C25" s="134"/>
    </row>
  </sheetData>
  <protectedRanges>
    <protectedRange sqref="A9" name="範囲3"/>
    <protectedRange sqref="A9" name="範囲2"/>
  </protectedRanges>
  <autoFilter ref="A6:BK7" xr:uid="{00000000-0009-0000-0000-00001C000000}"/>
  <mergeCells count="37">
    <mergeCell ref="A4:A6"/>
    <mergeCell ref="B4:C4"/>
    <mergeCell ref="E4:AI4"/>
    <mergeCell ref="AK4:AZ4"/>
    <mergeCell ref="W5:AA5"/>
    <mergeCell ref="AB5:AC5"/>
    <mergeCell ref="AE5:AF5"/>
    <mergeCell ref="AH5:AI5"/>
    <mergeCell ref="BF5:BF6"/>
    <mergeCell ref="BB4:BE4"/>
    <mergeCell ref="BG4:BJ4"/>
    <mergeCell ref="B5:B6"/>
    <mergeCell ref="C5:C6"/>
    <mergeCell ref="D5:D6"/>
    <mergeCell ref="E5:E6"/>
    <mergeCell ref="F5:H5"/>
    <mergeCell ref="I5:M5"/>
    <mergeCell ref="N5:Q5"/>
    <mergeCell ref="R5:V5"/>
    <mergeCell ref="BG5:BH5"/>
    <mergeCell ref="BI5:BJ5"/>
    <mergeCell ref="A3:J3"/>
    <mergeCell ref="A1:J1"/>
    <mergeCell ref="B2:H2"/>
    <mergeCell ref="BK5:BK6"/>
    <mergeCell ref="F6:F7"/>
    <mergeCell ref="G6:H6"/>
    <mergeCell ref="J6:K6"/>
    <mergeCell ref="O6:P6"/>
    <mergeCell ref="S6:T6"/>
    <mergeCell ref="AC6:AD6"/>
    <mergeCell ref="AI6:AJ6"/>
    <mergeCell ref="AK5:AK6"/>
    <mergeCell ref="AL5:AR5"/>
    <mergeCell ref="AS5:AZ5"/>
    <mergeCell ref="BB5:BB6"/>
    <mergeCell ref="BC5:BE5"/>
  </mergeCells>
  <phoneticPr fontId="9"/>
  <dataValidations count="1">
    <dataValidation type="whole" errorStyle="warning" allowBlank="1" showInputMessage="1" errorTitle="入力値を要確認！" error="想定を超えた数値が入力されています。ご確認ください。" sqref="A9" xr:uid="{89A88735-2E1C-4B9E-980A-FE264BE5E564}">
      <formula1>K9</formula1>
      <formula2>L9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2"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40B6A-3C45-4D1E-92D3-698348C1EA17}">
  <sheetPr codeName="Sheet20">
    <pageSetUpPr fitToPage="1"/>
  </sheetPr>
  <dimension ref="A1:BM88"/>
  <sheetViews>
    <sheetView view="pageBreakPreview" zoomScale="50" zoomScaleNormal="50" zoomScaleSheetLayoutView="50" zoomScalePageLayoutView="50" workbookViewId="0">
      <pane xSplit="2" ySplit="6" topLeftCell="C13" activePane="bottomRight" state="frozen"/>
      <selection sqref="A1:W1"/>
      <selection pane="topRight" sqref="A1:W1"/>
      <selection pane="bottomLeft" sqref="A1:W1"/>
      <selection pane="bottomRight" activeCell="A3" sqref="A3:A6"/>
    </sheetView>
  </sheetViews>
  <sheetFormatPr defaultColWidth="8.875" defaultRowHeight="14.25" outlineLevelCol="1"/>
  <cols>
    <col min="1" max="1" width="8.875" style="134"/>
    <col min="2" max="2" width="47.125" style="914" bestFit="1" customWidth="1"/>
    <col min="3" max="3" width="18" style="134" customWidth="1"/>
    <col min="4" max="4" width="13.375" style="915" customWidth="1"/>
    <col min="5" max="5" width="16.125" style="134" customWidth="1"/>
    <col min="6" max="6" width="15.875" style="134" customWidth="1"/>
    <col min="7" max="7" width="15.625" style="134" customWidth="1" outlineLevel="1"/>
    <col min="8" max="8" width="13.25" style="134" customWidth="1" outlineLevel="1"/>
    <col min="9" max="9" width="11.375" style="134" customWidth="1" outlineLevel="1"/>
    <col min="10" max="10" width="10.125" style="134" customWidth="1" outlineLevel="1"/>
    <col min="11" max="12" width="11.125" style="134" customWidth="1" outlineLevel="1"/>
    <col min="13" max="13" width="10.125" style="134" customWidth="1" outlineLevel="1"/>
    <col min="14" max="14" width="18.5" style="134" customWidth="1" outlineLevel="1"/>
    <col min="15" max="15" width="10" style="134" customWidth="1" outlineLevel="1"/>
    <col min="16" max="17" width="10.625" style="134" customWidth="1" outlineLevel="1"/>
    <col min="18" max="18" width="11.125" style="134" customWidth="1" outlineLevel="1"/>
    <col min="19" max="23" width="11.625" style="134" customWidth="1" outlineLevel="1"/>
    <col min="24" max="24" width="11.875" style="134" customWidth="1" outlineLevel="1"/>
    <col min="25" max="25" width="11" style="134" customWidth="1" outlineLevel="1"/>
    <col min="26" max="26" width="9.125" style="134" customWidth="1" outlineLevel="1"/>
    <col min="27" max="27" width="12" style="134" customWidth="1" outlineLevel="1"/>
    <col min="28" max="28" width="11.5" style="134" customWidth="1" outlineLevel="1"/>
    <col min="29" max="29" width="14.625" style="134" customWidth="1"/>
    <col min="30" max="37" width="11.5" style="134" customWidth="1" outlineLevel="1"/>
    <col min="38" max="39" width="16.375" style="134" customWidth="1" outlineLevel="1"/>
    <col min="40" max="43" width="11.5" style="134" customWidth="1" outlineLevel="1"/>
    <col min="44" max="44" width="15.125" style="134" customWidth="1"/>
    <col min="45" max="48" width="13.125" style="134" customWidth="1" outlineLevel="1"/>
    <col min="49" max="49" width="13.125" style="134" customWidth="1"/>
    <col min="50" max="53" width="13.125" style="134" customWidth="1" outlineLevel="1"/>
    <col min="54" max="54" width="15.625" style="134" customWidth="1" outlineLevel="1"/>
    <col min="55" max="55" width="12.375" style="134" customWidth="1"/>
    <col min="56" max="56" width="19.5" style="134" customWidth="1"/>
    <col min="57" max="57" width="12" style="134" customWidth="1"/>
    <col min="58" max="58" width="11.75" style="134" customWidth="1"/>
    <col min="59" max="59" width="15.625" style="134" customWidth="1"/>
    <col min="60" max="60" width="20.875" style="134" customWidth="1"/>
    <col min="61" max="61" width="17.75" style="134" customWidth="1"/>
    <col min="62" max="62" width="21.5" style="134" customWidth="1"/>
    <col min="63" max="63" width="15.375" style="134" customWidth="1"/>
    <col min="64" max="64" width="14.75" style="134" customWidth="1"/>
    <col min="65" max="16384" width="8.875" style="134"/>
  </cols>
  <sheetData>
    <row r="1" spans="1:64" ht="11.25" customHeight="1">
      <c r="B1" s="896"/>
      <c r="C1" s="895"/>
      <c r="D1" s="897"/>
      <c r="E1" s="895"/>
      <c r="F1" s="895"/>
      <c r="G1" s="895"/>
      <c r="H1" s="895"/>
      <c r="I1" s="895"/>
      <c r="J1" s="895"/>
      <c r="K1" s="895"/>
      <c r="L1" s="895"/>
      <c r="M1" s="895"/>
      <c r="N1" s="895"/>
      <c r="O1" s="895"/>
      <c r="P1" s="898"/>
      <c r="Q1" s="898"/>
      <c r="R1" s="898"/>
      <c r="S1" s="898"/>
      <c r="T1" s="898"/>
      <c r="U1" s="898"/>
      <c r="V1" s="898"/>
      <c r="W1" s="898"/>
      <c r="X1" s="898"/>
      <c r="Y1" s="898"/>
      <c r="Z1" s="898"/>
      <c r="AA1" s="898"/>
      <c r="AB1" s="898"/>
      <c r="AC1" s="898"/>
      <c r="AD1" s="898"/>
      <c r="AE1" s="898"/>
      <c r="AF1" s="898"/>
      <c r="AG1" s="898"/>
      <c r="AH1" s="898"/>
      <c r="AI1" s="898"/>
      <c r="AJ1" s="898"/>
      <c r="AK1" s="898"/>
      <c r="AL1" s="898"/>
      <c r="AM1" s="898"/>
      <c r="AN1" s="898"/>
      <c r="AO1" s="898"/>
      <c r="AP1" s="898"/>
      <c r="AQ1" s="898"/>
      <c r="AR1" s="898"/>
      <c r="AS1" s="898"/>
      <c r="AT1" s="898"/>
      <c r="AU1" s="898"/>
      <c r="AV1" s="898"/>
      <c r="AW1" s="898"/>
      <c r="AX1" s="898"/>
      <c r="AY1" s="898"/>
      <c r="AZ1" s="898"/>
      <c r="BA1" s="898"/>
      <c r="BB1" s="898"/>
    </row>
    <row r="2" spans="1:64" ht="34.9" customHeight="1" thickBot="1">
      <c r="D2" s="134"/>
      <c r="P2" s="899"/>
      <c r="Q2" s="899"/>
      <c r="R2" s="899"/>
      <c r="S2" s="899"/>
      <c r="T2" s="899"/>
      <c r="U2" s="899"/>
      <c r="V2" s="899"/>
      <c r="W2" s="899"/>
      <c r="X2" s="899"/>
      <c r="Y2" s="899"/>
      <c r="Z2" s="899"/>
      <c r="AA2" s="899"/>
      <c r="AB2" s="899"/>
      <c r="AC2" s="899"/>
      <c r="AD2" s="899"/>
      <c r="AE2" s="899"/>
      <c r="AF2" s="899"/>
      <c r="AG2" s="899"/>
      <c r="AH2" s="899"/>
      <c r="AI2" s="899"/>
      <c r="AJ2" s="899"/>
      <c r="AK2" s="899"/>
      <c r="AL2" s="899"/>
      <c r="AM2" s="899"/>
      <c r="AN2" s="899"/>
      <c r="AO2" s="899"/>
      <c r="AP2" s="899"/>
      <c r="AQ2" s="899"/>
      <c r="AR2" s="899"/>
      <c r="AS2" s="899"/>
      <c r="AT2" s="899"/>
      <c r="AU2" s="899"/>
      <c r="AV2" s="899"/>
      <c r="AW2" s="899"/>
      <c r="AX2" s="899"/>
      <c r="AY2" s="899"/>
      <c r="AZ2" s="899"/>
      <c r="BA2" s="899"/>
      <c r="BB2" s="899"/>
      <c r="BC2" s="899"/>
      <c r="BD2" s="899"/>
      <c r="BE2" s="899"/>
      <c r="BF2" s="899"/>
      <c r="BG2" s="899"/>
      <c r="BH2" s="899"/>
      <c r="BI2" s="899"/>
      <c r="BJ2" s="899"/>
      <c r="BK2" s="899"/>
      <c r="BL2" s="899"/>
    </row>
    <row r="3" spans="1:64" s="905" customFormat="1" ht="43.15" customHeight="1" thickBot="1">
      <c r="A3" s="1924" t="s">
        <v>1785</v>
      </c>
      <c r="B3" s="1928" t="s">
        <v>1386</v>
      </c>
      <c r="C3" s="1926" t="s">
        <v>1387</v>
      </c>
      <c r="D3" s="1929"/>
      <c r="E3" s="1202" t="s">
        <v>1388</v>
      </c>
      <c r="F3" s="1926" t="s">
        <v>1483</v>
      </c>
      <c r="G3" s="1926"/>
      <c r="H3" s="1926"/>
      <c r="I3" s="1926"/>
      <c r="J3" s="1926"/>
      <c r="K3" s="1926"/>
      <c r="L3" s="1926"/>
      <c r="M3" s="1926"/>
      <c r="N3" s="1926"/>
      <c r="O3" s="1926"/>
      <c r="P3" s="1926"/>
      <c r="Q3" s="1926"/>
      <c r="R3" s="1926"/>
      <c r="S3" s="1926"/>
      <c r="T3" s="1926"/>
      <c r="U3" s="1926"/>
      <c r="V3" s="1926"/>
      <c r="W3" s="1926"/>
      <c r="X3" s="1926"/>
      <c r="Y3" s="1926"/>
      <c r="Z3" s="1926"/>
      <c r="AA3" s="1926"/>
      <c r="AB3" s="1926"/>
      <c r="AC3" s="1926"/>
      <c r="AD3" s="1926"/>
      <c r="AE3" s="1926"/>
      <c r="AF3" s="1926"/>
      <c r="AG3" s="1926"/>
      <c r="AH3" s="1926"/>
      <c r="AI3" s="1926"/>
      <c r="AJ3" s="1926"/>
      <c r="AK3" s="1202"/>
      <c r="AL3" s="1926" t="s">
        <v>1389</v>
      </c>
      <c r="AM3" s="1926"/>
      <c r="AN3" s="1926"/>
      <c r="AO3" s="1926"/>
      <c r="AP3" s="1926"/>
      <c r="AQ3" s="1926"/>
      <c r="AR3" s="1926"/>
      <c r="AS3" s="1926"/>
      <c r="AT3" s="1926"/>
      <c r="AU3" s="1926"/>
      <c r="AV3" s="1926"/>
      <c r="AW3" s="1926"/>
      <c r="AX3" s="1926"/>
      <c r="AY3" s="1926"/>
      <c r="AZ3" s="1926"/>
      <c r="BA3" s="1926"/>
      <c r="BB3" s="1202" t="s">
        <v>859</v>
      </c>
      <c r="BC3" s="1926" t="s">
        <v>1390</v>
      </c>
      <c r="BD3" s="1926"/>
      <c r="BE3" s="1926"/>
      <c r="BF3" s="1926"/>
      <c r="BG3" s="1202" t="s">
        <v>1391</v>
      </c>
      <c r="BH3" s="1926" t="s">
        <v>1392</v>
      </c>
      <c r="BI3" s="1926"/>
      <c r="BJ3" s="1926"/>
      <c r="BK3" s="1926"/>
      <c r="BL3" s="1202" t="s">
        <v>1647</v>
      </c>
    </row>
    <row r="4" spans="1:64" s="905" customFormat="1" ht="43.15" customHeight="1" thickBot="1">
      <c r="A4" s="1924"/>
      <c r="B4" s="1928"/>
      <c r="C4" s="1926" t="s">
        <v>1484</v>
      </c>
      <c r="D4" s="1926" t="s">
        <v>1485</v>
      </c>
      <c r="E4" s="1926" t="s">
        <v>1648</v>
      </c>
      <c r="F4" s="1926" t="s">
        <v>1649</v>
      </c>
      <c r="G4" s="1926" t="s">
        <v>1395</v>
      </c>
      <c r="H4" s="1926"/>
      <c r="I4" s="1926"/>
      <c r="J4" s="1926" t="s">
        <v>1396</v>
      </c>
      <c r="K4" s="1926"/>
      <c r="L4" s="1926"/>
      <c r="M4" s="1926"/>
      <c r="N4" s="1926"/>
      <c r="O4" s="1926" t="s">
        <v>1397</v>
      </c>
      <c r="P4" s="1926"/>
      <c r="Q4" s="1926"/>
      <c r="R4" s="1926"/>
      <c r="S4" s="1926" t="s">
        <v>1398</v>
      </c>
      <c r="T4" s="1926"/>
      <c r="U4" s="1926"/>
      <c r="V4" s="1926"/>
      <c r="W4" s="1926"/>
      <c r="X4" s="1926" t="s">
        <v>1399</v>
      </c>
      <c r="Y4" s="1926"/>
      <c r="Z4" s="1926"/>
      <c r="AA4" s="1926"/>
      <c r="AB4" s="1926"/>
      <c r="AC4" s="1926" t="s">
        <v>1487</v>
      </c>
      <c r="AD4" s="1926"/>
      <c r="AE4" s="1926"/>
      <c r="AF4" s="1926" t="s">
        <v>1488</v>
      </c>
      <c r="AG4" s="1926"/>
      <c r="AH4" s="1202" t="s">
        <v>1489</v>
      </c>
      <c r="AI4" s="1926" t="s">
        <v>1490</v>
      </c>
      <c r="AJ4" s="1926"/>
      <c r="AK4" s="1926"/>
      <c r="AL4" s="1926" t="s">
        <v>1400</v>
      </c>
      <c r="AM4" s="1926" t="s">
        <v>1401</v>
      </c>
      <c r="AN4" s="1926"/>
      <c r="AO4" s="1926"/>
      <c r="AP4" s="1926"/>
      <c r="AQ4" s="1926"/>
      <c r="AR4" s="1926"/>
      <c r="AS4" s="1926"/>
      <c r="AT4" s="1926" t="s">
        <v>1402</v>
      </c>
      <c r="AU4" s="1926"/>
      <c r="AV4" s="1926"/>
      <c r="AW4" s="1926"/>
      <c r="AX4" s="1926"/>
      <c r="AY4" s="1926"/>
      <c r="AZ4" s="1926"/>
      <c r="BA4" s="1926"/>
      <c r="BB4" s="1926" t="s">
        <v>1650</v>
      </c>
      <c r="BC4" s="1926" t="s">
        <v>1651</v>
      </c>
      <c r="BD4" s="1926" t="s">
        <v>1405</v>
      </c>
      <c r="BE4" s="1926"/>
      <c r="BF4" s="1926"/>
      <c r="BG4" s="1926" t="s">
        <v>1491</v>
      </c>
      <c r="BH4" s="1926" t="s">
        <v>1492</v>
      </c>
      <c r="BI4" s="1926"/>
      <c r="BJ4" s="1926" t="s">
        <v>1493</v>
      </c>
      <c r="BK4" s="1926"/>
      <c r="BL4" s="1927" t="s">
        <v>1652</v>
      </c>
    </row>
    <row r="5" spans="1:64" s="905" customFormat="1" ht="43.15" customHeight="1" thickBot="1">
      <c r="A5" s="1924"/>
      <c r="B5" s="1928"/>
      <c r="C5" s="1926"/>
      <c r="D5" s="1926"/>
      <c r="E5" s="1926"/>
      <c r="F5" s="1926"/>
      <c r="G5" s="1925" t="s">
        <v>1407</v>
      </c>
      <c r="H5" s="1925" t="s">
        <v>1494</v>
      </c>
      <c r="I5" s="1925"/>
      <c r="J5" s="1925" t="s">
        <v>1409</v>
      </c>
      <c r="K5" s="1925" t="s">
        <v>1410</v>
      </c>
      <c r="L5" s="1925"/>
      <c r="M5" s="1925" t="s">
        <v>1411</v>
      </c>
      <c r="N5" s="1925" t="s">
        <v>1412</v>
      </c>
      <c r="O5" s="1925" t="s">
        <v>1413</v>
      </c>
      <c r="P5" s="1925" t="s">
        <v>1414</v>
      </c>
      <c r="Q5" s="1925"/>
      <c r="R5" s="1925" t="s">
        <v>1415</v>
      </c>
      <c r="S5" s="1925" t="s">
        <v>1413</v>
      </c>
      <c r="T5" s="1925" t="s">
        <v>1416</v>
      </c>
      <c r="U5" s="1925"/>
      <c r="V5" s="1925" t="s">
        <v>1417</v>
      </c>
      <c r="W5" s="1925" t="s">
        <v>1418</v>
      </c>
      <c r="X5" s="1925" t="s">
        <v>1419</v>
      </c>
      <c r="Y5" s="1925" t="s">
        <v>1420</v>
      </c>
      <c r="Z5" s="1925" t="s">
        <v>1421</v>
      </c>
      <c r="AA5" s="1925" t="s">
        <v>1422</v>
      </c>
      <c r="AB5" s="1925" t="s">
        <v>1495</v>
      </c>
      <c r="AC5" s="1925" t="s">
        <v>1496</v>
      </c>
      <c r="AD5" s="1925" t="s">
        <v>1497</v>
      </c>
      <c r="AE5" s="1925"/>
      <c r="AF5" s="1925" t="s">
        <v>1407</v>
      </c>
      <c r="AG5" s="1925" t="s">
        <v>1408</v>
      </c>
      <c r="AH5" s="1925" t="s">
        <v>1407</v>
      </c>
      <c r="AI5" s="1925" t="s">
        <v>1496</v>
      </c>
      <c r="AJ5" s="1925" t="s">
        <v>1497</v>
      </c>
      <c r="AK5" s="1925"/>
      <c r="AL5" s="1926"/>
      <c r="AM5" s="1925" t="s">
        <v>1423</v>
      </c>
      <c r="AN5" s="1925" t="s">
        <v>1424</v>
      </c>
      <c r="AO5" s="1925" t="s">
        <v>1425</v>
      </c>
      <c r="AP5" s="1925" t="s">
        <v>1426</v>
      </c>
      <c r="AQ5" s="1925" t="s">
        <v>1427</v>
      </c>
      <c r="AR5" s="1925" t="s">
        <v>1428</v>
      </c>
      <c r="AS5" s="1925" t="s">
        <v>1429</v>
      </c>
      <c r="AT5" s="1925" t="s">
        <v>1430</v>
      </c>
      <c r="AU5" s="1925" t="s">
        <v>1431</v>
      </c>
      <c r="AV5" s="1925" t="s">
        <v>1432</v>
      </c>
      <c r="AW5" s="1925" t="s">
        <v>1433</v>
      </c>
      <c r="AX5" s="1925" t="s">
        <v>1498</v>
      </c>
      <c r="AY5" s="1925" t="s">
        <v>1434</v>
      </c>
      <c r="AZ5" s="1925" t="s">
        <v>1499</v>
      </c>
      <c r="BA5" s="1925" t="s">
        <v>1500</v>
      </c>
      <c r="BB5" s="1926"/>
      <c r="BC5" s="1926"/>
      <c r="BD5" s="1926" t="s">
        <v>1435</v>
      </c>
      <c r="BE5" s="1926" t="s">
        <v>1436</v>
      </c>
      <c r="BF5" s="1926" t="s">
        <v>1437</v>
      </c>
      <c r="BG5" s="1926"/>
      <c r="BH5" s="1925" t="s">
        <v>1501</v>
      </c>
      <c r="BI5" s="1925" t="s">
        <v>1502</v>
      </c>
      <c r="BJ5" s="1925" t="s">
        <v>1503</v>
      </c>
      <c r="BK5" s="1925" t="s">
        <v>1502</v>
      </c>
      <c r="BL5" s="1927"/>
    </row>
    <row r="6" spans="1:64" s="905" customFormat="1" ht="87" customHeight="1" thickBot="1">
      <c r="A6" s="1924"/>
      <c r="B6" s="1928"/>
      <c r="C6" s="1926"/>
      <c r="D6" s="1926"/>
      <c r="E6" s="1926"/>
      <c r="F6" s="1926"/>
      <c r="G6" s="1925"/>
      <c r="H6" s="1203"/>
      <c r="I6" s="1203" t="s">
        <v>1504</v>
      </c>
      <c r="J6" s="1925"/>
      <c r="K6" s="1203"/>
      <c r="L6" s="1203" t="s">
        <v>1504</v>
      </c>
      <c r="M6" s="1925"/>
      <c r="N6" s="1925"/>
      <c r="O6" s="1925"/>
      <c r="P6" s="1203"/>
      <c r="Q6" s="1203" t="s">
        <v>1504</v>
      </c>
      <c r="R6" s="1925"/>
      <c r="S6" s="1925"/>
      <c r="T6" s="1203"/>
      <c r="U6" s="1203" t="s">
        <v>1504</v>
      </c>
      <c r="V6" s="1925"/>
      <c r="W6" s="1925"/>
      <c r="X6" s="1925"/>
      <c r="Y6" s="1925"/>
      <c r="Z6" s="1925"/>
      <c r="AA6" s="1925"/>
      <c r="AB6" s="1925"/>
      <c r="AC6" s="1925"/>
      <c r="AD6" s="1203"/>
      <c r="AE6" s="1203" t="s">
        <v>1504</v>
      </c>
      <c r="AF6" s="1925"/>
      <c r="AG6" s="1925"/>
      <c r="AH6" s="1925"/>
      <c r="AI6" s="1925"/>
      <c r="AJ6" s="1203"/>
      <c r="AK6" s="1203" t="s">
        <v>1504</v>
      </c>
      <c r="AL6" s="1926"/>
      <c r="AM6" s="1925"/>
      <c r="AN6" s="1925"/>
      <c r="AO6" s="1925"/>
      <c r="AP6" s="1925"/>
      <c r="AQ6" s="1925"/>
      <c r="AR6" s="1925"/>
      <c r="AS6" s="1925"/>
      <c r="AT6" s="1925"/>
      <c r="AU6" s="1925"/>
      <c r="AV6" s="1925"/>
      <c r="AW6" s="1925"/>
      <c r="AX6" s="1925"/>
      <c r="AY6" s="1925"/>
      <c r="AZ6" s="1925"/>
      <c r="BA6" s="1925"/>
      <c r="BB6" s="1926"/>
      <c r="BC6" s="1926"/>
      <c r="BD6" s="1926"/>
      <c r="BE6" s="1926"/>
      <c r="BF6" s="1926"/>
      <c r="BG6" s="1926"/>
      <c r="BH6" s="1925"/>
      <c r="BI6" s="1925"/>
      <c r="BJ6" s="1925"/>
      <c r="BK6" s="1925"/>
      <c r="BL6" s="1927"/>
    </row>
    <row r="7" spans="1:64" s="1166" customFormat="1" ht="132" customHeight="1" thickBot="1">
      <c r="A7" s="1204">
        <v>1</v>
      </c>
      <c r="B7" s="1170" t="s">
        <v>1653</v>
      </c>
      <c r="C7" s="1171">
        <v>7089</v>
      </c>
      <c r="D7" s="1172">
        <v>32.700000000000003</v>
      </c>
      <c r="E7" s="1171">
        <v>2746</v>
      </c>
      <c r="F7" s="1173">
        <v>2413</v>
      </c>
      <c r="G7" s="1173">
        <v>56</v>
      </c>
      <c r="H7" s="1173">
        <v>104</v>
      </c>
      <c r="I7" s="1173">
        <v>17</v>
      </c>
      <c r="J7" s="1173">
        <v>4</v>
      </c>
      <c r="K7" s="1173">
        <v>84</v>
      </c>
      <c r="L7" s="1173">
        <v>15</v>
      </c>
      <c r="M7" s="1173">
        <v>0</v>
      </c>
      <c r="N7" s="1173">
        <v>116</v>
      </c>
      <c r="O7" s="1173">
        <v>10</v>
      </c>
      <c r="P7" s="1173">
        <v>185</v>
      </c>
      <c r="Q7" s="1173">
        <v>82</v>
      </c>
      <c r="R7" s="1173">
        <v>169</v>
      </c>
      <c r="S7" s="1173">
        <v>31</v>
      </c>
      <c r="T7" s="1171">
        <v>33</v>
      </c>
      <c r="U7" s="1171">
        <v>8</v>
      </c>
      <c r="V7" s="1171">
        <v>0</v>
      </c>
      <c r="W7" s="1171">
        <v>27</v>
      </c>
      <c r="X7" s="1171">
        <v>297</v>
      </c>
      <c r="Y7" s="1171">
        <v>0</v>
      </c>
      <c r="Z7" s="1171">
        <v>43</v>
      </c>
      <c r="AA7" s="1171">
        <v>328</v>
      </c>
      <c r="AB7" s="1171">
        <v>22</v>
      </c>
      <c r="AC7" s="1171">
        <v>0</v>
      </c>
      <c r="AD7" s="1171">
        <v>54</v>
      </c>
      <c r="AE7" s="1171">
        <v>54</v>
      </c>
      <c r="AF7" s="1171">
        <v>2</v>
      </c>
      <c r="AG7" s="1171">
        <v>2</v>
      </c>
      <c r="AH7" s="1171">
        <v>8</v>
      </c>
      <c r="AI7" s="1171">
        <v>34</v>
      </c>
      <c r="AJ7" s="1171">
        <v>17</v>
      </c>
      <c r="AK7" s="1171">
        <v>16</v>
      </c>
      <c r="AL7" s="1171">
        <v>847</v>
      </c>
      <c r="AM7" s="1171">
        <v>813</v>
      </c>
      <c r="AN7" s="1171">
        <v>75</v>
      </c>
      <c r="AO7" s="1171">
        <v>113</v>
      </c>
      <c r="AP7" s="1171">
        <v>239</v>
      </c>
      <c r="AQ7" s="1171">
        <v>0</v>
      </c>
      <c r="AR7" s="1171">
        <v>69</v>
      </c>
      <c r="AS7" s="1171">
        <v>83</v>
      </c>
      <c r="AT7" s="1171">
        <v>100</v>
      </c>
      <c r="AU7" s="1171">
        <v>3</v>
      </c>
      <c r="AV7" s="1171">
        <v>13</v>
      </c>
      <c r="AW7" s="1171">
        <v>29</v>
      </c>
      <c r="AX7" s="1171">
        <v>4</v>
      </c>
      <c r="AY7" s="1171">
        <v>32</v>
      </c>
      <c r="AZ7" s="1171">
        <v>81</v>
      </c>
      <c r="BA7" s="1171">
        <v>89</v>
      </c>
      <c r="BB7" s="1173">
        <v>3471</v>
      </c>
      <c r="BC7" s="1171">
        <v>302</v>
      </c>
      <c r="BD7" s="1171">
        <v>266</v>
      </c>
      <c r="BE7" s="1171">
        <v>65</v>
      </c>
      <c r="BF7" s="1171">
        <v>19</v>
      </c>
      <c r="BG7" s="1171">
        <v>677</v>
      </c>
      <c r="BH7" s="1171">
        <v>403</v>
      </c>
      <c r="BI7" s="1174">
        <f t="shared" ref="BI7:BI8" si="0">BH7*12</f>
        <v>4836</v>
      </c>
      <c r="BJ7" s="1171">
        <v>17</v>
      </c>
      <c r="BK7" s="1171">
        <f t="shared" ref="BK7:BK8" si="1">BJ7*12</f>
        <v>204</v>
      </c>
      <c r="BL7" s="1175">
        <v>15</v>
      </c>
    </row>
    <row r="8" spans="1:64" s="1166" customFormat="1" ht="132" customHeight="1" thickBot="1">
      <c r="A8" s="1204">
        <v>2</v>
      </c>
      <c r="B8" s="1170" t="s">
        <v>1654</v>
      </c>
      <c r="C8" s="1171">
        <v>3554</v>
      </c>
      <c r="D8" s="1176">
        <v>26</v>
      </c>
      <c r="E8" s="1171">
        <v>1665</v>
      </c>
      <c r="F8" s="1173">
        <v>860</v>
      </c>
      <c r="G8" s="1173">
        <v>1</v>
      </c>
      <c r="H8" s="1173">
        <v>53</v>
      </c>
      <c r="I8" s="1173">
        <v>0</v>
      </c>
      <c r="J8" s="1173">
        <v>2</v>
      </c>
      <c r="K8" s="1173">
        <v>54</v>
      </c>
      <c r="L8" s="1173">
        <v>25</v>
      </c>
      <c r="M8" s="1173">
        <v>5</v>
      </c>
      <c r="N8" s="1173">
        <v>92</v>
      </c>
      <c r="O8" s="1173">
        <v>18</v>
      </c>
      <c r="P8" s="1173">
        <v>123</v>
      </c>
      <c r="Q8" s="1173">
        <v>47</v>
      </c>
      <c r="R8" s="1173">
        <v>160</v>
      </c>
      <c r="S8" s="1173">
        <v>8</v>
      </c>
      <c r="T8" s="1171">
        <v>12</v>
      </c>
      <c r="U8" s="1171">
        <v>12</v>
      </c>
      <c r="V8" s="1171">
        <v>0</v>
      </c>
      <c r="W8" s="1171">
        <v>17</v>
      </c>
      <c r="X8" s="1171">
        <v>129</v>
      </c>
      <c r="Y8" s="1171">
        <v>0</v>
      </c>
      <c r="Z8" s="1171">
        <v>5</v>
      </c>
      <c r="AA8" s="1171">
        <v>71</v>
      </c>
      <c r="AB8" s="1171">
        <v>0</v>
      </c>
      <c r="AC8" s="1171">
        <v>0</v>
      </c>
      <c r="AD8" s="1171">
        <v>73</v>
      </c>
      <c r="AE8" s="1171">
        <v>73</v>
      </c>
      <c r="AF8" s="1171">
        <v>3</v>
      </c>
      <c r="AG8" s="1171">
        <v>0</v>
      </c>
      <c r="AH8" s="1171">
        <v>7</v>
      </c>
      <c r="AI8" s="1171">
        <v>26</v>
      </c>
      <c r="AJ8" s="1171">
        <v>1</v>
      </c>
      <c r="AK8" s="1171">
        <v>1</v>
      </c>
      <c r="AL8" s="1171">
        <v>265</v>
      </c>
      <c r="AM8" s="1171">
        <v>265</v>
      </c>
      <c r="AN8" s="1171">
        <v>4</v>
      </c>
      <c r="AO8" s="1171">
        <v>14</v>
      </c>
      <c r="AP8" s="1171">
        <v>0</v>
      </c>
      <c r="AQ8" s="1171">
        <v>0</v>
      </c>
      <c r="AR8" s="1171">
        <v>0</v>
      </c>
      <c r="AS8" s="1171">
        <v>10</v>
      </c>
      <c r="AT8" s="1171">
        <v>40</v>
      </c>
      <c r="AU8" s="1171">
        <v>6</v>
      </c>
      <c r="AV8" s="1171">
        <v>12</v>
      </c>
      <c r="AW8" s="1171">
        <v>20</v>
      </c>
      <c r="AX8" s="1171">
        <v>1</v>
      </c>
      <c r="AY8" s="1171">
        <v>5</v>
      </c>
      <c r="AZ8" s="1171">
        <v>109</v>
      </c>
      <c r="BA8" s="1171">
        <v>7</v>
      </c>
      <c r="BB8" s="1177">
        <v>2299</v>
      </c>
      <c r="BC8" s="1178">
        <v>244</v>
      </c>
      <c r="BD8" s="1178">
        <v>190</v>
      </c>
      <c r="BE8" s="1178">
        <v>42</v>
      </c>
      <c r="BF8" s="1178">
        <v>12</v>
      </c>
      <c r="BG8" s="1178">
        <v>1754</v>
      </c>
      <c r="BH8" s="1178">
        <v>149</v>
      </c>
      <c r="BI8" s="1174">
        <f t="shared" si="0"/>
        <v>1788</v>
      </c>
      <c r="BJ8" s="1178">
        <v>177</v>
      </c>
      <c r="BK8" s="1171">
        <f t="shared" si="1"/>
        <v>2124</v>
      </c>
      <c r="BL8" s="1179">
        <v>14.12</v>
      </c>
    </row>
    <row r="9" spans="1:64" s="1166" customFormat="1" ht="129.94999999999999" customHeight="1" thickBot="1">
      <c r="A9" s="1204">
        <v>3</v>
      </c>
      <c r="B9" s="1170" t="s">
        <v>1655</v>
      </c>
      <c r="C9" s="1171">
        <v>2708</v>
      </c>
      <c r="D9" s="1180">
        <v>27.680670550955739</v>
      </c>
      <c r="E9" s="1171">
        <v>1214</v>
      </c>
      <c r="F9" s="1173">
        <v>893</v>
      </c>
      <c r="G9" s="1173">
        <v>10</v>
      </c>
      <c r="H9" s="1173">
        <v>36</v>
      </c>
      <c r="I9" s="1173">
        <v>0</v>
      </c>
      <c r="J9" s="1173">
        <v>15</v>
      </c>
      <c r="K9" s="1173">
        <v>23</v>
      </c>
      <c r="L9" s="1173">
        <v>4</v>
      </c>
      <c r="M9" s="1173">
        <v>1</v>
      </c>
      <c r="N9" s="1173">
        <v>35</v>
      </c>
      <c r="O9" s="1173">
        <v>7</v>
      </c>
      <c r="P9" s="1173">
        <v>72</v>
      </c>
      <c r="Q9" s="1173">
        <v>22</v>
      </c>
      <c r="R9" s="1173">
        <v>73</v>
      </c>
      <c r="S9" s="1173">
        <v>11</v>
      </c>
      <c r="T9" s="1171">
        <v>6</v>
      </c>
      <c r="U9" s="1171">
        <v>0</v>
      </c>
      <c r="V9" s="1171">
        <v>0</v>
      </c>
      <c r="W9" s="1171">
        <v>6</v>
      </c>
      <c r="X9" s="1171">
        <v>111</v>
      </c>
      <c r="Y9" s="1171">
        <v>0</v>
      </c>
      <c r="Z9" s="1171">
        <v>2</v>
      </c>
      <c r="AA9" s="1171">
        <v>5</v>
      </c>
      <c r="AB9" s="1171">
        <v>7</v>
      </c>
      <c r="AC9" s="1171">
        <v>0</v>
      </c>
      <c r="AD9" s="1171">
        <v>42</v>
      </c>
      <c r="AE9" s="1171">
        <v>38</v>
      </c>
      <c r="AF9" s="1171">
        <v>4</v>
      </c>
      <c r="AG9" s="1171">
        <v>0</v>
      </c>
      <c r="AH9" s="1171">
        <v>0</v>
      </c>
      <c r="AI9" s="1171">
        <v>13</v>
      </c>
      <c r="AJ9" s="1171">
        <v>0</v>
      </c>
      <c r="AK9" s="1171">
        <v>0</v>
      </c>
      <c r="AL9" s="1171">
        <v>262</v>
      </c>
      <c r="AM9" s="1171">
        <v>262</v>
      </c>
      <c r="AN9" s="1171">
        <v>0</v>
      </c>
      <c r="AO9" s="1171">
        <v>13</v>
      </c>
      <c r="AP9" s="1171">
        <v>0</v>
      </c>
      <c r="AQ9" s="1171">
        <v>0</v>
      </c>
      <c r="AR9" s="1171">
        <v>0</v>
      </c>
      <c r="AS9" s="1171">
        <v>0</v>
      </c>
      <c r="AT9" s="1171">
        <v>41</v>
      </c>
      <c r="AU9" s="1171">
        <v>2</v>
      </c>
      <c r="AV9" s="1171">
        <v>2</v>
      </c>
      <c r="AW9" s="1171">
        <v>8</v>
      </c>
      <c r="AX9" s="1171">
        <v>1</v>
      </c>
      <c r="AY9" s="1171">
        <v>2</v>
      </c>
      <c r="AZ9" s="1171">
        <v>107</v>
      </c>
      <c r="BA9" s="1171">
        <v>47</v>
      </c>
      <c r="BB9" s="1173">
        <v>1375</v>
      </c>
      <c r="BC9" s="1171">
        <v>206</v>
      </c>
      <c r="BD9" s="1171">
        <v>238</v>
      </c>
      <c r="BE9" s="1171">
        <v>56</v>
      </c>
      <c r="BF9" s="1171">
        <v>49</v>
      </c>
      <c r="BG9" s="1171">
        <v>89</v>
      </c>
      <c r="BH9" s="1181">
        <v>224</v>
      </c>
      <c r="BI9" s="1181">
        <f>BH9*12</f>
        <v>2688</v>
      </c>
      <c r="BJ9" s="1181">
        <v>301</v>
      </c>
      <c r="BK9" s="1181">
        <f>BJ9*12</f>
        <v>3612</v>
      </c>
      <c r="BL9" s="1175">
        <v>7</v>
      </c>
    </row>
    <row r="10" spans="1:64" s="1166" customFormat="1" ht="129.94999999999999" customHeight="1" thickBot="1">
      <c r="A10" s="1204">
        <v>4</v>
      </c>
      <c r="B10" s="1182" t="s">
        <v>1656</v>
      </c>
      <c r="C10" s="1181">
        <v>2293</v>
      </c>
      <c r="D10" s="1183">
        <v>24.218419940853401</v>
      </c>
      <c r="E10" s="1181">
        <v>1186</v>
      </c>
      <c r="F10" s="1184">
        <v>942</v>
      </c>
      <c r="G10" s="1184">
        <v>0</v>
      </c>
      <c r="H10" s="1184">
        <v>72</v>
      </c>
      <c r="I10" s="1184">
        <v>0</v>
      </c>
      <c r="J10" s="1184">
        <v>18</v>
      </c>
      <c r="K10" s="1184">
        <v>12</v>
      </c>
      <c r="L10" s="1184">
        <v>0</v>
      </c>
      <c r="M10" s="1184">
        <v>0</v>
      </c>
      <c r="N10" s="1184">
        <v>69</v>
      </c>
      <c r="O10" s="1184">
        <v>11</v>
      </c>
      <c r="P10" s="1184">
        <v>85</v>
      </c>
      <c r="Q10" s="1184">
        <v>0</v>
      </c>
      <c r="R10" s="1184">
        <v>36</v>
      </c>
      <c r="S10" s="1184">
        <v>8</v>
      </c>
      <c r="T10" s="1181">
        <v>8</v>
      </c>
      <c r="U10" s="1181">
        <v>0</v>
      </c>
      <c r="V10" s="1181">
        <v>16</v>
      </c>
      <c r="W10" s="1181">
        <v>39</v>
      </c>
      <c r="X10" s="1181">
        <v>30</v>
      </c>
      <c r="Y10" s="1181">
        <v>0</v>
      </c>
      <c r="Z10" s="1181">
        <v>19</v>
      </c>
      <c r="AA10" s="1181">
        <v>1</v>
      </c>
      <c r="AB10" s="1181">
        <v>0</v>
      </c>
      <c r="AC10" s="1181">
        <v>0</v>
      </c>
      <c r="AD10" s="1181">
        <v>20</v>
      </c>
      <c r="AE10" s="1181">
        <v>20</v>
      </c>
      <c r="AF10" s="1181">
        <v>0</v>
      </c>
      <c r="AG10" s="1181">
        <v>0</v>
      </c>
      <c r="AH10" s="1181">
        <v>1</v>
      </c>
      <c r="AI10" s="1181">
        <v>12</v>
      </c>
      <c r="AJ10" s="1181">
        <v>0</v>
      </c>
      <c r="AK10" s="1181">
        <v>0</v>
      </c>
      <c r="AL10" s="1181">
        <v>211</v>
      </c>
      <c r="AM10" s="1181">
        <v>211</v>
      </c>
      <c r="AN10" s="1181">
        <v>23</v>
      </c>
      <c r="AO10" s="1181">
        <v>18</v>
      </c>
      <c r="AP10" s="1181">
        <v>67</v>
      </c>
      <c r="AQ10" s="1181">
        <v>0</v>
      </c>
      <c r="AR10" s="1181">
        <v>0</v>
      </c>
      <c r="AS10" s="1181">
        <v>0</v>
      </c>
      <c r="AT10" s="1181">
        <v>73</v>
      </c>
      <c r="AU10" s="1181">
        <v>1</v>
      </c>
      <c r="AV10" s="1181">
        <v>11</v>
      </c>
      <c r="AW10" s="1181">
        <v>3</v>
      </c>
      <c r="AX10" s="1181">
        <v>0</v>
      </c>
      <c r="AY10" s="1181">
        <v>4</v>
      </c>
      <c r="AZ10" s="1181">
        <v>34</v>
      </c>
      <c r="BA10" s="1181">
        <v>40</v>
      </c>
      <c r="BB10" s="1184">
        <v>879</v>
      </c>
      <c r="BC10" s="1181">
        <v>130</v>
      </c>
      <c r="BD10" s="1181">
        <v>111</v>
      </c>
      <c r="BE10" s="1181">
        <v>36</v>
      </c>
      <c r="BF10" s="1181">
        <v>4</v>
      </c>
      <c r="BG10" s="1181">
        <v>2913</v>
      </c>
      <c r="BH10" s="1181">
        <v>336</v>
      </c>
      <c r="BI10" s="1181">
        <f t="shared" ref="BI10:BI71" si="2">BH10*12</f>
        <v>4032</v>
      </c>
      <c r="BJ10" s="1181">
        <v>260</v>
      </c>
      <c r="BK10" s="1181">
        <f t="shared" ref="BK10:BK71" si="3">BJ10*12</f>
        <v>3120</v>
      </c>
      <c r="BL10" s="1185">
        <v>3</v>
      </c>
    </row>
    <row r="11" spans="1:64" s="1166" customFormat="1" ht="129.94999999999999" customHeight="1" thickBot="1">
      <c r="A11" s="1204">
        <v>5</v>
      </c>
      <c r="B11" s="1182" t="s">
        <v>1657</v>
      </c>
      <c r="C11" s="1171">
        <v>2473</v>
      </c>
      <c r="D11" s="1180">
        <v>26.136123441132952</v>
      </c>
      <c r="E11" s="1171">
        <v>1177</v>
      </c>
      <c r="F11" s="1173">
        <v>660</v>
      </c>
      <c r="G11" s="1173">
        <v>0</v>
      </c>
      <c r="H11" s="1173">
        <v>41</v>
      </c>
      <c r="I11" s="1173">
        <v>2</v>
      </c>
      <c r="J11" s="1173">
        <v>27</v>
      </c>
      <c r="K11" s="1173">
        <v>11</v>
      </c>
      <c r="L11" s="1173">
        <v>0</v>
      </c>
      <c r="M11" s="1173">
        <v>0</v>
      </c>
      <c r="N11" s="1173">
        <v>57</v>
      </c>
      <c r="O11" s="1173">
        <v>4</v>
      </c>
      <c r="P11" s="1173">
        <v>88</v>
      </c>
      <c r="Q11" s="1173">
        <v>6</v>
      </c>
      <c r="R11" s="1173">
        <v>104</v>
      </c>
      <c r="S11" s="1173">
        <v>9</v>
      </c>
      <c r="T11" s="1171">
        <v>6</v>
      </c>
      <c r="U11" s="1171">
        <v>0</v>
      </c>
      <c r="V11" s="1171">
        <v>0</v>
      </c>
      <c r="W11" s="1171">
        <v>5</v>
      </c>
      <c r="X11" s="1171">
        <v>83</v>
      </c>
      <c r="Y11" s="1171">
        <v>0</v>
      </c>
      <c r="Z11" s="1171">
        <v>4</v>
      </c>
      <c r="AA11" s="1171">
        <v>87</v>
      </c>
      <c r="AB11" s="1171">
        <v>0</v>
      </c>
      <c r="AC11" s="1171">
        <v>0</v>
      </c>
      <c r="AD11" s="1171">
        <v>21</v>
      </c>
      <c r="AE11" s="1171">
        <v>21</v>
      </c>
      <c r="AF11" s="1171">
        <v>1</v>
      </c>
      <c r="AG11" s="1171">
        <v>0</v>
      </c>
      <c r="AH11" s="1171">
        <v>0</v>
      </c>
      <c r="AI11" s="1171">
        <v>5</v>
      </c>
      <c r="AJ11" s="1171">
        <v>0</v>
      </c>
      <c r="AK11" s="1171">
        <v>0</v>
      </c>
      <c r="AL11" s="1171">
        <v>285</v>
      </c>
      <c r="AM11" s="1171">
        <v>269</v>
      </c>
      <c r="AN11" s="1171">
        <v>0</v>
      </c>
      <c r="AO11" s="1171">
        <v>12</v>
      </c>
      <c r="AP11" s="1171">
        <v>0</v>
      </c>
      <c r="AQ11" s="1171">
        <v>0</v>
      </c>
      <c r="AR11" s="1171">
        <v>0</v>
      </c>
      <c r="AS11" s="1171">
        <v>0</v>
      </c>
      <c r="AT11" s="1171">
        <v>77</v>
      </c>
      <c r="AU11" s="1171">
        <v>6</v>
      </c>
      <c r="AV11" s="1171">
        <v>3</v>
      </c>
      <c r="AW11" s="1171">
        <v>7</v>
      </c>
      <c r="AX11" s="1171">
        <v>3</v>
      </c>
      <c r="AY11" s="1171">
        <v>3</v>
      </c>
      <c r="AZ11" s="1171">
        <v>87</v>
      </c>
      <c r="BA11" s="1171">
        <v>39</v>
      </c>
      <c r="BB11" s="1173">
        <v>1269</v>
      </c>
      <c r="BC11" s="1171">
        <v>145</v>
      </c>
      <c r="BD11" s="1171">
        <v>142</v>
      </c>
      <c r="BE11" s="1171">
        <v>45</v>
      </c>
      <c r="BF11" s="1171">
        <v>8</v>
      </c>
      <c r="BG11" s="1171">
        <v>799</v>
      </c>
      <c r="BH11" s="1171">
        <v>75</v>
      </c>
      <c r="BI11" s="1181">
        <f t="shared" si="2"/>
        <v>900</v>
      </c>
      <c r="BJ11" s="1171">
        <v>51</v>
      </c>
      <c r="BK11" s="1181">
        <f t="shared" si="3"/>
        <v>612</v>
      </c>
      <c r="BL11" s="1175">
        <v>9</v>
      </c>
    </row>
    <row r="12" spans="1:64" s="1166" customFormat="1" ht="129.94999999999999" customHeight="1" thickBot="1">
      <c r="A12" s="1204">
        <v>6</v>
      </c>
      <c r="B12" s="1182" t="s">
        <v>1658</v>
      </c>
      <c r="C12" s="1181">
        <v>874</v>
      </c>
      <c r="D12" s="1183">
        <v>11.55167856198784</v>
      </c>
      <c r="E12" s="1181">
        <v>505</v>
      </c>
      <c r="F12" s="1184">
        <v>473</v>
      </c>
      <c r="G12" s="1184">
        <v>0</v>
      </c>
      <c r="H12" s="1184">
        <v>0</v>
      </c>
      <c r="I12" s="1184">
        <v>0</v>
      </c>
      <c r="J12" s="1184">
        <v>1</v>
      </c>
      <c r="K12" s="1184">
        <v>17</v>
      </c>
      <c r="L12" s="1184">
        <v>0</v>
      </c>
      <c r="M12" s="1184">
        <v>2</v>
      </c>
      <c r="N12" s="1184">
        <v>13</v>
      </c>
      <c r="O12" s="1184">
        <v>14</v>
      </c>
      <c r="P12" s="1184">
        <v>66</v>
      </c>
      <c r="Q12" s="1184">
        <v>0</v>
      </c>
      <c r="R12" s="1184">
        <v>52</v>
      </c>
      <c r="S12" s="1184">
        <v>2</v>
      </c>
      <c r="T12" s="1181">
        <v>0</v>
      </c>
      <c r="U12" s="1181">
        <v>0</v>
      </c>
      <c r="V12" s="1181">
        <v>0</v>
      </c>
      <c r="W12" s="1181">
        <v>0</v>
      </c>
      <c r="X12" s="1181">
        <v>73</v>
      </c>
      <c r="Y12" s="1181">
        <v>0</v>
      </c>
      <c r="Z12" s="1181">
        <v>3</v>
      </c>
      <c r="AA12" s="1181">
        <v>26</v>
      </c>
      <c r="AB12" s="1181">
        <v>0</v>
      </c>
      <c r="AC12" s="1181">
        <v>0</v>
      </c>
      <c r="AD12" s="1181">
        <v>5</v>
      </c>
      <c r="AE12" s="1181">
        <v>0</v>
      </c>
      <c r="AF12" s="1181">
        <v>0</v>
      </c>
      <c r="AG12" s="1181">
        <v>0</v>
      </c>
      <c r="AH12" s="1181">
        <v>0</v>
      </c>
      <c r="AI12" s="1181">
        <v>2</v>
      </c>
      <c r="AJ12" s="1181">
        <v>0</v>
      </c>
      <c r="AK12" s="1181">
        <v>0</v>
      </c>
      <c r="AL12" s="1181">
        <v>0</v>
      </c>
      <c r="AM12" s="1181">
        <v>0</v>
      </c>
      <c r="AN12" s="1181">
        <v>0</v>
      </c>
      <c r="AO12" s="1181">
        <v>0</v>
      </c>
      <c r="AP12" s="1181">
        <v>0</v>
      </c>
      <c r="AQ12" s="1181">
        <v>0</v>
      </c>
      <c r="AR12" s="1181">
        <v>0</v>
      </c>
      <c r="AS12" s="1181">
        <v>0</v>
      </c>
      <c r="AT12" s="1181">
        <v>0</v>
      </c>
      <c r="AU12" s="1181">
        <v>0</v>
      </c>
      <c r="AV12" s="1181">
        <v>0</v>
      </c>
      <c r="AW12" s="1181">
        <v>0</v>
      </c>
      <c r="AX12" s="1181">
        <v>0</v>
      </c>
      <c r="AY12" s="1181">
        <v>0</v>
      </c>
      <c r="AZ12" s="1181">
        <v>0</v>
      </c>
      <c r="BA12" s="1181">
        <v>0</v>
      </c>
      <c r="BB12" s="1184">
        <v>513</v>
      </c>
      <c r="BC12" s="1181">
        <v>194</v>
      </c>
      <c r="BD12" s="1181">
        <v>156</v>
      </c>
      <c r="BE12" s="1181">
        <v>53</v>
      </c>
      <c r="BF12" s="1181">
        <v>30</v>
      </c>
      <c r="BG12" s="1181">
        <v>1121</v>
      </c>
      <c r="BH12" s="1181">
        <v>48</v>
      </c>
      <c r="BI12" s="1181">
        <f t="shared" si="2"/>
        <v>576</v>
      </c>
      <c r="BJ12" s="1181">
        <v>72</v>
      </c>
      <c r="BK12" s="1181">
        <f t="shared" si="3"/>
        <v>864</v>
      </c>
      <c r="BL12" s="1185">
        <v>4</v>
      </c>
    </row>
    <row r="13" spans="1:64" s="1166" customFormat="1" ht="129.94999999999999" customHeight="1" thickBot="1">
      <c r="A13" s="1204">
        <v>7</v>
      </c>
      <c r="B13" s="1182" t="s">
        <v>1659</v>
      </c>
      <c r="C13" s="1181">
        <v>1304</v>
      </c>
      <c r="D13" s="1183">
        <v>18.312034826569302</v>
      </c>
      <c r="E13" s="1181">
        <v>716</v>
      </c>
      <c r="F13" s="1184">
        <v>626</v>
      </c>
      <c r="G13" s="1184">
        <v>5</v>
      </c>
      <c r="H13" s="1184">
        <v>35</v>
      </c>
      <c r="I13" s="1184">
        <v>0</v>
      </c>
      <c r="J13" s="1184">
        <v>12</v>
      </c>
      <c r="K13" s="1184">
        <v>22</v>
      </c>
      <c r="L13" s="1184">
        <v>0</v>
      </c>
      <c r="M13" s="1184">
        <v>0</v>
      </c>
      <c r="N13" s="1184">
        <v>30</v>
      </c>
      <c r="O13" s="1184">
        <v>10</v>
      </c>
      <c r="P13" s="1184">
        <v>53</v>
      </c>
      <c r="Q13" s="1184">
        <v>30</v>
      </c>
      <c r="R13" s="1184">
        <v>59</v>
      </c>
      <c r="S13" s="1184">
        <v>5</v>
      </c>
      <c r="T13" s="1181">
        <v>4</v>
      </c>
      <c r="U13" s="1181">
        <v>0</v>
      </c>
      <c r="V13" s="1181">
        <v>4</v>
      </c>
      <c r="W13" s="1181">
        <v>0</v>
      </c>
      <c r="X13" s="1181">
        <v>58</v>
      </c>
      <c r="Y13" s="1181">
        <v>0</v>
      </c>
      <c r="Z13" s="1181">
        <v>2</v>
      </c>
      <c r="AA13" s="1181">
        <v>7</v>
      </c>
      <c r="AB13" s="1181">
        <v>2</v>
      </c>
      <c r="AC13" s="1181">
        <v>0</v>
      </c>
      <c r="AD13" s="1181">
        <v>41</v>
      </c>
      <c r="AE13" s="1181">
        <v>41</v>
      </c>
      <c r="AF13" s="1181">
        <v>1</v>
      </c>
      <c r="AG13" s="1181">
        <v>0</v>
      </c>
      <c r="AH13" s="1181">
        <v>2</v>
      </c>
      <c r="AI13" s="1181">
        <v>2</v>
      </c>
      <c r="AJ13" s="1181">
        <v>0</v>
      </c>
      <c r="AK13" s="1181">
        <v>0</v>
      </c>
      <c r="AL13" s="1181">
        <v>0</v>
      </c>
      <c r="AM13" s="1181">
        <v>0</v>
      </c>
      <c r="AN13" s="1181">
        <v>0</v>
      </c>
      <c r="AO13" s="1181">
        <v>0</v>
      </c>
      <c r="AP13" s="1181">
        <v>0</v>
      </c>
      <c r="AQ13" s="1181">
        <v>0</v>
      </c>
      <c r="AR13" s="1181">
        <v>0</v>
      </c>
      <c r="AS13" s="1181">
        <v>0</v>
      </c>
      <c r="AT13" s="1181">
        <v>0</v>
      </c>
      <c r="AU13" s="1181">
        <v>0</v>
      </c>
      <c r="AV13" s="1181">
        <v>0</v>
      </c>
      <c r="AW13" s="1181">
        <v>0</v>
      </c>
      <c r="AX13" s="1181">
        <v>0</v>
      </c>
      <c r="AY13" s="1181">
        <v>0</v>
      </c>
      <c r="AZ13" s="1181">
        <v>0</v>
      </c>
      <c r="BA13" s="1181">
        <v>0</v>
      </c>
      <c r="BB13" s="1184">
        <v>698</v>
      </c>
      <c r="BC13" s="1181">
        <v>152</v>
      </c>
      <c r="BD13" s="1181">
        <v>0</v>
      </c>
      <c r="BE13" s="1181">
        <v>0</v>
      </c>
      <c r="BF13" s="1181">
        <v>0</v>
      </c>
      <c r="BG13" s="1181">
        <v>1194</v>
      </c>
      <c r="BH13" s="1181">
        <v>127</v>
      </c>
      <c r="BI13" s="1181">
        <f t="shared" si="2"/>
        <v>1524</v>
      </c>
      <c r="BJ13" s="1181">
        <v>289</v>
      </c>
      <c r="BK13" s="1181">
        <f t="shared" si="3"/>
        <v>3468</v>
      </c>
      <c r="BL13" s="1185">
        <v>5</v>
      </c>
    </row>
    <row r="14" spans="1:64" s="1166" customFormat="1" ht="129.94999999999999" customHeight="1" thickBot="1">
      <c r="A14" s="1204">
        <v>8</v>
      </c>
      <c r="B14" s="1182" t="s">
        <v>1660</v>
      </c>
      <c r="C14" s="1181">
        <v>952</v>
      </c>
      <c r="D14" s="1186">
        <v>28.648811315076738</v>
      </c>
      <c r="E14" s="1181">
        <v>206</v>
      </c>
      <c r="F14" s="1184">
        <v>85</v>
      </c>
      <c r="G14" s="1184">
        <v>81</v>
      </c>
      <c r="H14" s="1184">
        <v>4</v>
      </c>
      <c r="I14" s="1184">
        <v>0</v>
      </c>
      <c r="J14" s="1187"/>
      <c r="K14" s="1187"/>
      <c r="L14" s="1187"/>
      <c r="M14" s="1187"/>
      <c r="N14" s="1187"/>
      <c r="O14" s="1187"/>
      <c r="P14" s="1187"/>
      <c r="Q14" s="1187"/>
      <c r="R14" s="1187"/>
      <c r="S14" s="1187"/>
      <c r="T14" s="1188"/>
      <c r="U14" s="1188"/>
      <c r="V14" s="1188"/>
      <c r="W14" s="1188"/>
      <c r="X14" s="1188"/>
      <c r="Y14" s="1188"/>
      <c r="Z14" s="1188"/>
      <c r="AA14" s="1188"/>
      <c r="AB14" s="1188"/>
      <c r="AC14" s="1188"/>
      <c r="AD14" s="1188"/>
      <c r="AE14" s="1188"/>
      <c r="AF14" s="1188"/>
      <c r="AG14" s="1188"/>
      <c r="AH14" s="1188"/>
      <c r="AI14" s="1188"/>
      <c r="AJ14" s="1188"/>
      <c r="AK14" s="1188"/>
      <c r="AL14" s="1181">
        <v>108</v>
      </c>
      <c r="AM14" s="1181">
        <v>70</v>
      </c>
      <c r="AN14" s="1181">
        <v>0</v>
      </c>
      <c r="AO14" s="1181">
        <v>0</v>
      </c>
      <c r="AP14" s="1181">
        <v>0</v>
      </c>
      <c r="AQ14" s="1181">
        <v>0</v>
      </c>
      <c r="AR14" s="1181">
        <v>0</v>
      </c>
      <c r="AS14" s="1181">
        <v>0</v>
      </c>
      <c r="AT14" s="1181">
        <v>70</v>
      </c>
      <c r="AU14" s="1188"/>
      <c r="AV14" s="1188"/>
      <c r="AW14" s="1188"/>
      <c r="AX14" s="1188"/>
      <c r="AY14" s="1188"/>
      <c r="AZ14" s="1188"/>
      <c r="BA14" s="1188"/>
      <c r="BB14" s="1189">
        <v>544</v>
      </c>
      <c r="BC14" s="1190">
        <v>100</v>
      </c>
      <c r="BD14" s="1190">
        <v>148</v>
      </c>
      <c r="BE14" s="1190">
        <v>112</v>
      </c>
      <c r="BF14" s="1190">
        <v>59</v>
      </c>
      <c r="BG14" s="1190">
        <v>1795</v>
      </c>
      <c r="BH14" s="1190">
        <v>33</v>
      </c>
      <c r="BI14" s="1181">
        <f t="shared" si="2"/>
        <v>396</v>
      </c>
      <c r="BJ14" s="1190">
        <v>14</v>
      </c>
      <c r="BK14" s="1181">
        <f t="shared" si="3"/>
        <v>168</v>
      </c>
      <c r="BL14" s="1191">
        <v>3</v>
      </c>
    </row>
    <row r="15" spans="1:64" s="1166" customFormat="1" ht="132" customHeight="1" thickBot="1">
      <c r="A15" s="1204">
        <v>9</v>
      </c>
      <c r="B15" s="1170" t="s">
        <v>1661</v>
      </c>
      <c r="C15" s="1171">
        <v>6518</v>
      </c>
      <c r="D15" s="1192">
        <v>31.4</v>
      </c>
      <c r="E15" s="1171">
        <v>2456</v>
      </c>
      <c r="F15" s="1193">
        <v>2970</v>
      </c>
      <c r="G15" s="1173">
        <v>63</v>
      </c>
      <c r="H15" s="1173">
        <v>204</v>
      </c>
      <c r="I15" s="1173">
        <v>23</v>
      </c>
      <c r="J15" s="1173">
        <v>5</v>
      </c>
      <c r="K15" s="1173">
        <v>64</v>
      </c>
      <c r="L15" s="1173">
        <v>0</v>
      </c>
      <c r="M15" s="1173">
        <v>0</v>
      </c>
      <c r="N15" s="1173">
        <v>3</v>
      </c>
      <c r="O15" s="1173">
        <v>10</v>
      </c>
      <c r="P15" s="1173">
        <v>163</v>
      </c>
      <c r="Q15" s="1173">
        <v>43</v>
      </c>
      <c r="R15" s="1173">
        <v>2</v>
      </c>
      <c r="S15" s="1173">
        <v>14</v>
      </c>
      <c r="T15" s="1171">
        <v>14</v>
      </c>
      <c r="U15" s="1171">
        <v>0</v>
      </c>
      <c r="V15" s="1171">
        <v>0</v>
      </c>
      <c r="W15" s="1171">
        <v>0</v>
      </c>
      <c r="X15" s="1171">
        <v>258</v>
      </c>
      <c r="Y15" s="1171">
        <v>0</v>
      </c>
      <c r="Z15" s="1171">
        <v>9</v>
      </c>
      <c r="AA15" s="1171">
        <v>227</v>
      </c>
      <c r="AB15" s="1171">
        <v>3</v>
      </c>
      <c r="AC15" s="1171">
        <v>0</v>
      </c>
      <c r="AD15" s="1171">
        <v>98</v>
      </c>
      <c r="AE15" s="1171">
        <v>0</v>
      </c>
      <c r="AF15" s="1171">
        <v>3</v>
      </c>
      <c r="AG15" s="1171">
        <v>0</v>
      </c>
      <c r="AH15" s="1171">
        <v>2</v>
      </c>
      <c r="AI15" s="1171">
        <v>32</v>
      </c>
      <c r="AJ15" s="1171">
        <v>18</v>
      </c>
      <c r="AK15" s="1171">
        <v>0</v>
      </c>
      <c r="AL15" s="1171">
        <v>943</v>
      </c>
      <c r="AM15" s="1171">
        <v>943</v>
      </c>
      <c r="AN15" s="1171">
        <v>0</v>
      </c>
      <c r="AO15" s="1171">
        <v>22</v>
      </c>
      <c r="AP15" s="1171">
        <v>198</v>
      </c>
      <c r="AQ15" s="1171">
        <v>0</v>
      </c>
      <c r="AR15" s="1171">
        <v>15</v>
      </c>
      <c r="AS15" s="1171">
        <v>0</v>
      </c>
      <c r="AT15" s="1171">
        <v>154</v>
      </c>
      <c r="AU15" s="1171">
        <v>11</v>
      </c>
      <c r="AV15" s="1171">
        <v>6</v>
      </c>
      <c r="AW15" s="1171">
        <v>20</v>
      </c>
      <c r="AX15" s="1171">
        <v>5</v>
      </c>
      <c r="AY15" s="1171">
        <v>2</v>
      </c>
      <c r="AZ15" s="1171">
        <v>295</v>
      </c>
      <c r="BA15" s="1171">
        <v>89</v>
      </c>
      <c r="BB15" s="1173">
        <v>4392</v>
      </c>
      <c r="BC15" s="1171">
        <v>323</v>
      </c>
      <c r="BD15" s="1171">
        <v>314</v>
      </c>
      <c r="BE15" s="1171">
        <v>57</v>
      </c>
      <c r="BF15" s="1171">
        <v>11</v>
      </c>
      <c r="BG15" s="1171">
        <v>3409</v>
      </c>
      <c r="BH15" s="1171">
        <v>232</v>
      </c>
      <c r="BI15" s="1174">
        <f t="shared" si="2"/>
        <v>2784</v>
      </c>
      <c r="BJ15" s="1171">
        <v>38</v>
      </c>
      <c r="BK15" s="1171">
        <f t="shared" si="3"/>
        <v>456</v>
      </c>
      <c r="BL15" s="1175">
        <v>21</v>
      </c>
    </row>
    <row r="16" spans="1:64" s="1166" customFormat="1" ht="129.94999999999999" customHeight="1" thickBot="1">
      <c r="A16" s="1204">
        <v>10</v>
      </c>
      <c r="B16" s="1170" t="s">
        <v>1662</v>
      </c>
      <c r="C16" s="1171">
        <v>1635</v>
      </c>
      <c r="D16" s="1180">
        <v>10.41533953369856</v>
      </c>
      <c r="E16" s="1171">
        <v>665</v>
      </c>
      <c r="F16" s="1193">
        <v>609</v>
      </c>
      <c r="G16" s="1173">
        <v>0</v>
      </c>
      <c r="H16" s="1173">
        <v>29</v>
      </c>
      <c r="I16" s="1173">
        <v>0</v>
      </c>
      <c r="J16" s="1173">
        <v>18</v>
      </c>
      <c r="K16" s="1173">
        <v>17</v>
      </c>
      <c r="L16" s="1173">
        <v>0</v>
      </c>
      <c r="M16" s="1173">
        <v>0</v>
      </c>
      <c r="N16" s="1173">
        <v>21</v>
      </c>
      <c r="O16" s="1173">
        <v>19</v>
      </c>
      <c r="P16" s="1173">
        <v>65</v>
      </c>
      <c r="Q16" s="1173">
        <v>0</v>
      </c>
      <c r="R16" s="1173">
        <v>40</v>
      </c>
      <c r="S16" s="1173">
        <v>7</v>
      </c>
      <c r="T16" s="1171">
        <v>6</v>
      </c>
      <c r="U16" s="1171">
        <v>0</v>
      </c>
      <c r="V16" s="1171">
        <v>0</v>
      </c>
      <c r="W16" s="1171">
        <v>6</v>
      </c>
      <c r="X16" s="1171">
        <v>93</v>
      </c>
      <c r="Y16" s="1171">
        <v>0</v>
      </c>
      <c r="Z16" s="1171">
        <v>0</v>
      </c>
      <c r="AA16" s="1171">
        <v>16</v>
      </c>
      <c r="AB16" s="1171">
        <v>1</v>
      </c>
      <c r="AC16" s="1171">
        <v>0</v>
      </c>
      <c r="AD16" s="1171">
        <v>0</v>
      </c>
      <c r="AE16" s="1171">
        <v>0</v>
      </c>
      <c r="AF16" s="1171">
        <v>0</v>
      </c>
      <c r="AG16" s="1171">
        <v>0</v>
      </c>
      <c r="AH16" s="1171">
        <v>0</v>
      </c>
      <c r="AI16" s="1171">
        <v>0</v>
      </c>
      <c r="AJ16" s="1171">
        <v>0</v>
      </c>
      <c r="AK16" s="1171">
        <v>0</v>
      </c>
      <c r="AL16" s="1171">
        <v>156</v>
      </c>
      <c r="AM16" s="1171">
        <v>156</v>
      </c>
      <c r="AN16" s="1171">
        <v>12</v>
      </c>
      <c r="AO16" s="1171">
        <v>8</v>
      </c>
      <c r="AP16" s="1171">
        <v>15</v>
      </c>
      <c r="AQ16" s="1171">
        <v>0</v>
      </c>
      <c r="AR16" s="1171">
        <v>0</v>
      </c>
      <c r="AS16" s="1171">
        <v>0</v>
      </c>
      <c r="AT16" s="1171">
        <v>51</v>
      </c>
      <c r="AU16" s="1171">
        <v>2</v>
      </c>
      <c r="AV16" s="1171">
        <v>1</v>
      </c>
      <c r="AW16" s="1171">
        <v>2</v>
      </c>
      <c r="AX16" s="1171">
        <v>0</v>
      </c>
      <c r="AY16" s="1171">
        <v>1</v>
      </c>
      <c r="AZ16" s="1171">
        <v>54</v>
      </c>
      <c r="BA16" s="1171">
        <v>18</v>
      </c>
      <c r="BB16" s="1173">
        <v>2905</v>
      </c>
      <c r="BC16" s="1171">
        <v>79</v>
      </c>
      <c r="BD16" s="1171">
        <v>64</v>
      </c>
      <c r="BE16" s="1171">
        <v>62</v>
      </c>
      <c r="BF16" s="1171">
        <v>28</v>
      </c>
      <c r="BG16" s="1171">
        <v>347</v>
      </c>
      <c r="BH16" s="1171">
        <v>155</v>
      </c>
      <c r="BI16" s="1181">
        <f t="shared" si="2"/>
        <v>1860</v>
      </c>
      <c r="BJ16" s="1171">
        <v>176</v>
      </c>
      <c r="BK16" s="1181">
        <f t="shared" si="3"/>
        <v>2112</v>
      </c>
      <c r="BL16" s="1175">
        <v>12</v>
      </c>
    </row>
    <row r="17" spans="1:64" s="1166" customFormat="1" ht="129.94999999999999" customHeight="1" thickBot="1">
      <c r="A17" s="1204">
        <v>11</v>
      </c>
      <c r="B17" s="1182" t="s">
        <v>1663</v>
      </c>
      <c r="C17" s="1181">
        <v>674</v>
      </c>
      <c r="D17" s="1183">
        <v>13.019123044234112</v>
      </c>
      <c r="E17" s="1181">
        <v>345</v>
      </c>
      <c r="F17" s="1194">
        <v>232</v>
      </c>
      <c r="G17" s="1184">
        <v>3</v>
      </c>
      <c r="H17" s="1184">
        <v>8</v>
      </c>
      <c r="I17" s="1184">
        <v>0</v>
      </c>
      <c r="J17" s="1184">
        <v>12</v>
      </c>
      <c r="K17" s="1184">
        <v>13</v>
      </c>
      <c r="L17" s="1184">
        <v>0</v>
      </c>
      <c r="M17" s="1184">
        <v>14</v>
      </c>
      <c r="N17" s="1184">
        <v>25</v>
      </c>
      <c r="O17" s="1184">
        <v>7</v>
      </c>
      <c r="P17" s="1184">
        <v>37</v>
      </c>
      <c r="Q17" s="1184">
        <v>0</v>
      </c>
      <c r="R17" s="1184">
        <v>302</v>
      </c>
      <c r="S17" s="1184">
        <v>1</v>
      </c>
      <c r="T17" s="1181">
        <v>0</v>
      </c>
      <c r="U17" s="1181">
        <v>0</v>
      </c>
      <c r="V17" s="1181">
        <v>0</v>
      </c>
      <c r="W17" s="1181">
        <v>0</v>
      </c>
      <c r="X17" s="1181">
        <v>0</v>
      </c>
      <c r="Y17" s="1181">
        <v>0</v>
      </c>
      <c r="Z17" s="1181">
        <v>0</v>
      </c>
      <c r="AA17" s="1181">
        <v>0</v>
      </c>
      <c r="AB17" s="1181">
        <v>0</v>
      </c>
      <c r="AC17" s="1181">
        <v>0</v>
      </c>
      <c r="AD17" s="1181">
        <v>0</v>
      </c>
      <c r="AE17" s="1181">
        <v>0</v>
      </c>
      <c r="AF17" s="1181">
        <v>0</v>
      </c>
      <c r="AG17" s="1181">
        <v>0</v>
      </c>
      <c r="AH17" s="1181">
        <v>0</v>
      </c>
      <c r="AI17" s="1181">
        <v>3</v>
      </c>
      <c r="AJ17" s="1181">
        <v>0</v>
      </c>
      <c r="AK17" s="1181">
        <v>0</v>
      </c>
      <c r="AL17" s="1181">
        <v>0</v>
      </c>
      <c r="AM17" s="1181">
        <v>0</v>
      </c>
      <c r="AN17" s="1181">
        <v>0</v>
      </c>
      <c r="AO17" s="1181">
        <v>0</v>
      </c>
      <c r="AP17" s="1181">
        <v>0</v>
      </c>
      <c r="AQ17" s="1181">
        <v>0</v>
      </c>
      <c r="AR17" s="1181">
        <v>0</v>
      </c>
      <c r="AS17" s="1181">
        <v>0</v>
      </c>
      <c r="AT17" s="1181">
        <v>0</v>
      </c>
      <c r="AU17" s="1181">
        <v>0</v>
      </c>
      <c r="AV17" s="1181">
        <v>0</v>
      </c>
      <c r="AW17" s="1181">
        <v>0</v>
      </c>
      <c r="AX17" s="1181">
        <v>0</v>
      </c>
      <c r="AY17" s="1181">
        <v>0</v>
      </c>
      <c r="AZ17" s="1181">
        <v>0</v>
      </c>
      <c r="BA17" s="1181">
        <v>0</v>
      </c>
      <c r="BB17" s="1184">
        <v>409</v>
      </c>
      <c r="BC17" s="1181">
        <v>91</v>
      </c>
      <c r="BD17" s="1181">
        <v>186</v>
      </c>
      <c r="BE17" s="1181">
        <v>84</v>
      </c>
      <c r="BF17" s="1181">
        <v>21</v>
      </c>
      <c r="BG17" s="1181">
        <v>1145</v>
      </c>
      <c r="BH17" s="1181">
        <v>134</v>
      </c>
      <c r="BI17" s="1181">
        <f t="shared" si="2"/>
        <v>1608</v>
      </c>
      <c r="BJ17" s="1181">
        <v>116</v>
      </c>
      <c r="BK17" s="1181">
        <f t="shared" si="3"/>
        <v>1392</v>
      </c>
      <c r="BL17" s="1185">
        <v>4</v>
      </c>
    </row>
    <row r="18" spans="1:64" s="1166" customFormat="1" ht="129.94999999999999" customHeight="1" thickBot="1">
      <c r="A18" s="1204">
        <v>12</v>
      </c>
      <c r="B18" s="1170" t="s">
        <v>1664</v>
      </c>
      <c r="C18" s="1171">
        <v>1370</v>
      </c>
      <c r="D18" s="1180">
        <v>20.887330385729534</v>
      </c>
      <c r="E18" s="1171">
        <v>555</v>
      </c>
      <c r="F18" s="1193">
        <v>434</v>
      </c>
      <c r="G18" s="1173">
        <v>11</v>
      </c>
      <c r="H18" s="1173">
        <v>37</v>
      </c>
      <c r="I18" s="1173">
        <v>0</v>
      </c>
      <c r="J18" s="1173">
        <v>8</v>
      </c>
      <c r="K18" s="1173">
        <v>8</v>
      </c>
      <c r="L18" s="1173">
        <v>0</v>
      </c>
      <c r="M18" s="1173">
        <v>1</v>
      </c>
      <c r="N18" s="1173">
        <v>49</v>
      </c>
      <c r="O18" s="1173">
        <v>7</v>
      </c>
      <c r="P18" s="1173">
        <v>43</v>
      </c>
      <c r="Q18" s="1173">
        <v>0</v>
      </c>
      <c r="R18" s="1173">
        <v>50</v>
      </c>
      <c r="S18" s="1173">
        <v>4</v>
      </c>
      <c r="T18" s="1171">
        <v>0</v>
      </c>
      <c r="U18" s="1171">
        <v>0</v>
      </c>
      <c r="V18" s="1171">
        <v>0</v>
      </c>
      <c r="W18" s="1171">
        <v>9</v>
      </c>
      <c r="X18" s="1171">
        <v>48</v>
      </c>
      <c r="Y18" s="1171">
        <v>0</v>
      </c>
      <c r="Z18" s="1171">
        <v>1</v>
      </c>
      <c r="AA18" s="1171">
        <v>5</v>
      </c>
      <c r="AB18" s="1171">
        <v>0</v>
      </c>
      <c r="AC18" s="1171">
        <v>1</v>
      </c>
      <c r="AD18" s="1171">
        <v>3</v>
      </c>
      <c r="AE18" s="1171">
        <v>0</v>
      </c>
      <c r="AF18" s="1171">
        <v>0</v>
      </c>
      <c r="AG18" s="1171">
        <v>0</v>
      </c>
      <c r="AH18" s="1171">
        <v>0</v>
      </c>
      <c r="AI18" s="1171">
        <v>3</v>
      </c>
      <c r="AJ18" s="1171">
        <v>0</v>
      </c>
      <c r="AK18" s="1171">
        <v>0</v>
      </c>
      <c r="AL18" s="1171">
        <v>112</v>
      </c>
      <c r="AM18" s="1171">
        <v>112</v>
      </c>
      <c r="AN18" s="1171">
        <v>0</v>
      </c>
      <c r="AO18" s="1171">
        <v>0</v>
      </c>
      <c r="AP18" s="1171">
        <v>0</v>
      </c>
      <c r="AQ18" s="1171">
        <v>0</v>
      </c>
      <c r="AR18" s="1171">
        <v>0</v>
      </c>
      <c r="AS18" s="1171">
        <v>0</v>
      </c>
      <c r="AT18" s="1171">
        <v>46</v>
      </c>
      <c r="AU18" s="1171">
        <v>2</v>
      </c>
      <c r="AV18" s="1171">
        <v>0</v>
      </c>
      <c r="AW18" s="1171">
        <v>0</v>
      </c>
      <c r="AX18" s="1171">
        <v>2</v>
      </c>
      <c r="AY18" s="1171">
        <v>4</v>
      </c>
      <c r="AZ18" s="1171">
        <v>41</v>
      </c>
      <c r="BA18" s="1171">
        <v>5</v>
      </c>
      <c r="BB18" s="1173">
        <v>1425</v>
      </c>
      <c r="BC18" s="1171">
        <v>160</v>
      </c>
      <c r="BD18" s="1171">
        <v>98</v>
      </c>
      <c r="BE18" s="1171">
        <v>128</v>
      </c>
      <c r="BF18" s="1171">
        <v>123</v>
      </c>
      <c r="BG18" s="1171">
        <v>547</v>
      </c>
      <c r="BH18" s="1171">
        <v>12</v>
      </c>
      <c r="BI18" s="1181">
        <f t="shared" si="2"/>
        <v>144</v>
      </c>
      <c r="BJ18" s="1171">
        <v>12</v>
      </c>
      <c r="BK18" s="1181">
        <f t="shared" si="3"/>
        <v>144</v>
      </c>
      <c r="BL18" s="1175">
        <v>9</v>
      </c>
    </row>
    <row r="19" spans="1:64" s="1166" customFormat="1" ht="129.94999999999999" customHeight="1" thickBot="1">
      <c r="A19" s="1204">
        <v>13</v>
      </c>
      <c r="B19" s="1170" t="s">
        <v>1665</v>
      </c>
      <c r="C19" s="1171">
        <v>769</v>
      </c>
      <c r="D19" s="1180">
        <v>10.946619217081849</v>
      </c>
      <c r="E19" s="1171">
        <v>333</v>
      </c>
      <c r="F19" s="1193">
        <v>575</v>
      </c>
      <c r="G19" s="1173">
        <v>0</v>
      </c>
      <c r="H19" s="1173">
        <v>0</v>
      </c>
      <c r="I19" s="1173">
        <v>0</v>
      </c>
      <c r="J19" s="1173">
        <v>4</v>
      </c>
      <c r="K19" s="1173">
        <v>22</v>
      </c>
      <c r="L19" s="1173">
        <v>0</v>
      </c>
      <c r="M19" s="1173">
        <v>1</v>
      </c>
      <c r="N19" s="1173">
        <v>54</v>
      </c>
      <c r="O19" s="1173">
        <v>1</v>
      </c>
      <c r="P19" s="1173">
        <v>54</v>
      </c>
      <c r="Q19" s="1173">
        <v>0</v>
      </c>
      <c r="R19" s="1173">
        <v>99</v>
      </c>
      <c r="S19" s="1173">
        <v>2</v>
      </c>
      <c r="T19" s="1171">
        <v>8</v>
      </c>
      <c r="U19" s="1171">
        <v>0</v>
      </c>
      <c r="V19" s="1171">
        <v>0</v>
      </c>
      <c r="W19" s="1171">
        <v>0</v>
      </c>
      <c r="X19" s="1171">
        <v>1</v>
      </c>
      <c r="Y19" s="1171">
        <v>0</v>
      </c>
      <c r="Z19" s="1171">
        <v>0</v>
      </c>
      <c r="AA19" s="1171">
        <v>0</v>
      </c>
      <c r="AB19" s="1171">
        <v>0</v>
      </c>
      <c r="AC19" s="1171">
        <v>0</v>
      </c>
      <c r="AD19" s="1171">
        <v>0</v>
      </c>
      <c r="AE19" s="1171">
        <v>0</v>
      </c>
      <c r="AF19" s="1171">
        <v>2</v>
      </c>
      <c r="AG19" s="1171">
        <v>0</v>
      </c>
      <c r="AH19" s="1171">
        <v>2</v>
      </c>
      <c r="AI19" s="1171">
        <v>6</v>
      </c>
      <c r="AJ19" s="1171">
        <v>2</v>
      </c>
      <c r="AK19" s="1171">
        <v>0</v>
      </c>
      <c r="AL19" s="1171">
        <v>0</v>
      </c>
      <c r="AM19" s="1171">
        <v>0</v>
      </c>
      <c r="AN19" s="1171">
        <v>0</v>
      </c>
      <c r="AO19" s="1171">
        <v>0</v>
      </c>
      <c r="AP19" s="1171">
        <v>0</v>
      </c>
      <c r="AQ19" s="1171">
        <v>0</v>
      </c>
      <c r="AR19" s="1171">
        <v>0</v>
      </c>
      <c r="AS19" s="1171">
        <v>0</v>
      </c>
      <c r="AT19" s="1171">
        <v>0</v>
      </c>
      <c r="AU19" s="1171">
        <v>0</v>
      </c>
      <c r="AV19" s="1171">
        <v>0</v>
      </c>
      <c r="AW19" s="1171">
        <v>0</v>
      </c>
      <c r="AX19" s="1171">
        <v>0</v>
      </c>
      <c r="AY19" s="1171">
        <v>0</v>
      </c>
      <c r="AZ19" s="1171">
        <v>0</v>
      </c>
      <c r="BA19" s="1171">
        <v>0</v>
      </c>
      <c r="BB19" s="1173">
        <v>577</v>
      </c>
      <c r="BC19" s="1171">
        <v>182</v>
      </c>
      <c r="BD19" s="1171">
        <v>89</v>
      </c>
      <c r="BE19" s="1171">
        <v>123</v>
      </c>
      <c r="BF19" s="1171">
        <v>69</v>
      </c>
      <c r="BG19" s="1171">
        <v>472</v>
      </c>
      <c r="BH19" s="1171">
        <v>26</v>
      </c>
      <c r="BI19" s="1181">
        <f t="shared" si="2"/>
        <v>312</v>
      </c>
      <c r="BJ19" s="1171">
        <v>46</v>
      </c>
      <c r="BK19" s="1181">
        <f t="shared" si="3"/>
        <v>552</v>
      </c>
      <c r="BL19" s="1175">
        <v>3.18</v>
      </c>
    </row>
    <row r="20" spans="1:64" s="1166" customFormat="1" ht="132" customHeight="1" thickBot="1">
      <c r="A20" s="1204">
        <v>14</v>
      </c>
      <c r="B20" s="1170" t="s">
        <v>1666</v>
      </c>
      <c r="C20" s="1171">
        <v>6341</v>
      </c>
      <c r="D20" s="1192">
        <v>27.7</v>
      </c>
      <c r="E20" s="1171">
        <v>3310</v>
      </c>
      <c r="F20" s="1193">
        <v>3466</v>
      </c>
      <c r="G20" s="1173">
        <v>49</v>
      </c>
      <c r="H20" s="1173">
        <v>304</v>
      </c>
      <c r="I20" s="1173">
        <v>0</v>
      </c>
      <c r="J20" s="1173">
        <v>31</v>
      </c>
      <c r="K20" s="1173">
        <v>45</v>
      </c>
      <c r="L20" s="1173">
        <v>4</v>
      </c>
      <c r="M20" s="1173">
        <v>3</v>
      </c>
      <c r="N20" s="1173">
        <v>143</v>
      </c>
      <c r="O20" s="1173">
        <v>121</v>
      </c>
      <c r="P20" s="1173">
        <v>179</v>
      </c>
      <c r="Q20" s="1173">
        <v>0</v>
      </c>
      <c r="R20" s="1173">
        <v>26</v>
      </c>
      <c r="S20" s="1173">
        <v>5</v>
      </c>
      <c r="T20" s="1171">
        <v>45</v>
      </c>
      <c r="U20" s="1171">
        <v>0</v>
      </c>
      <c r="V20" s="1171">
        <v>3</v>
      </c>
      <c r="W20" s="1171">
        <v>10</v>
      </c>
      <c r="X20" s="1171">
        <v>229</v>
      </c>
      <c r="Y20" s="1171">
        <v>0</v>
      </c>
      <c r="Z20" s="1171">
        <v>33</v>
      </c>
      <c r="AA20" s="1171">
        <v>138</v>
      </c>
      <c r="AB20" s="1171">
        <v>1</v>
      </c>
      <c r="AC20" s="1171">
        <v>0</v>
      </c>
      <c r="AD20" s="1171">
        <v>123</v>
      </c>
      <c r="AE20" s="1171">
        <v>123</v>
      </c>
      <c r="AF20" s="1171">
        <v>7</v>
      </c>
      <c r="AG20" s="1171">
        <v>0</v>
      </c>
      <c r="AH20" s="1171">
        <v>5</v>
      </c>
      <c r="AI20" s="1171">
        <v>49</v>
      </c>
      <c r="AJ20" s="1171">
        <v>14</v>
      </c>
      <c r="AK20" s="1171">
        <v>0</v>
      </c>
      <c r="AL20" s="1171">
        <v>1097</v>
      </c>
      <c r="AM20" s="1171">
        <v>1059</v>
      </c>
      <c r="AN20" s="1171">
        <v>23</v>
      </c>
      <c r="AO20" s="1171">
        <v>21</v>
      </c>
      <c r="AP20" s="1171">
        <v>267</v>
      </c>
      <c r="AQ20" s="1171">
        <v>0</v>
      </c>
      <c r="AR20" s="1171">
        <v>30</v>
      </c>
      <c r="AS20" s="1171">
        <v>19</v>
      </c>
      <c r="AT20" s="1171">
        <v>151</v>
      </c>
      <c r="AU20" s="1171">
        <v>22</v>
      </c>
      <c r="AV20" s="1171">
        <v>8</v>
      </c>
      <c r="AW20" s="1171">
        <v>20</v>
      </c>
      <c r="AX20" s="1171">
        <v>2</v>
      </c>
      <c r="AY20" s="1171">
        <v>17</v>
      </c>
      <c r="AZ20" s="1171">
        <v>217</v>
      </c>
      <c r="BA20" s="1171">
        <v>134</v>
      </c>
      <c r="BB20" s="1173">
        <v>6930</v>
      </c>
      <c r="BC20" s="1171">
        <v>983</v>
      </c>
      <c r="BD20" s="1171">
        <v>570</v>
      </c>
      <c r="BE20" s="1171">
        <v>226</v>
      </c>
      <c r="BF20" s="1171">
        <v>187</v>
      </c>
      <c r="BG20" s="1171">
        <v>9518</v>
      </c>
      <c r="BH20" s="1171">
        <v>284</v>
      </c>
      <c r="BI20" s="1171">
        <f t="shared" si="2"/>
        <v>3408</v>
      </c>
      <c r="BJ20" s="1171">
        <v>275</v>
      </c>
      <c r="BK20" s="1171">
        <f t="shared" si="3"/>
        <v>3300</v>
      </c>
      <c r="BL20" s="1175">
        <v>27</v>
      </c>
    </row>
    <row r="21" spans="1:64" s="1166" customFormat="1" ht="129.94999999999999" customHeight="1" thickBot="1">
      <c r="A21" s="1204">
        <v>15</v>
      </c>
      <c r="B21" s="1170" t="s">
        <v>1667</v>
      </c>
      <c r="C21" s="1171">
        <v>1616</v>
      </c>
      <c r="D21" s="1180">
        <v>24.50712769184107</v>
      </c>
      <c r="E21" s="1171">
        <v>726</v>
      </c>
      <c r="F21" s="1193">
        <v>397</v>
      </c>
      <c r="G21" s="1173">
        <v>2</v>
      </c>
      <c r="H21" s="1173">
        <v>21</v>
      </c>
      <c r="I21" s="1173">
        <v>0</v>
      </c>
      <c r="J21" s="1173">
        <v>5</v>
      </c>
      <c r="K21" s="1173">
        <v>21</v>
      </c>
      <c r="L21" s="1173">
        <v>3</v>
      </c>
      <c r="M21" s="1173">
        <v>0</v>
      </c>
      <c r="N21" s="1173">
        <v>36</v>
      </c>
      <c r="O21" s="1173">
        <v>9</v>
      </c>
      <c r="P21" s="1173">
        <v>59</v>
      </c>
      <c r="Q21" s="1173">
        <v>18</v>
      </c>
      <c r="R21" s="1173">
        <v>4</v>
      </c>
      <c r="S21" s="1173">
        <v>9</v>
      </c>
      <c r="T21" s="1171">
        <v>0</v>
      </c>
      <c r="U21" s="1171">
        <v>0</v>
      </c>
      <c r="V21" s="1171">
        <v>10</v>
      </c>
      <c r="W21" s="1171">
        <v>4</v>
      </c>
      <c r="X21" s="1171">
        <v>86</v>
      </c>
      <c r="Y21" s="1171">
        <v>0</v>
      </c>
      <c r="Z21" s="1171">
        <v>0</v>
      </c>
      <c r="AA21" s="1171">
        <v>0</v>
      </c>
      <c r="AB21" s="1171">
        <v>0</v>
      </c>
      <c r="AC21" s="1171">
        <v>0</v>
      </c>
      <c r="AD21" s="1171">
        <v>20</v>
      </c>
      <c r="AE21" s="1171">
        <v>20</v>
      </c>
      <c r="AF21" s="1171">
        <v>1</v>
      </c>
      <c r="AG21" s="1171">
        <v>0</v>
      </c>
      <c r="AH21" s="1171">
        <v>0</v>
      </c>
      <c r="AI21" s="1171">
        <v>6</v>
      </c>
      <c r="AJ21" s="1171">
        <v>0</v>
      </c>
      <c r="AK21" s="1171">
        <v>0</v>
      </c>
      <c r="AL21" s="1171">
        <v>237</v>
      </c>
      <c r="AM21" s="1171">
        <v>237</v>
      </c>
      <c r="AN21" s="1171">
        <v>17</v>
      </c>
      <c r="AO21" s="1171">
        <v>24</v>
      </c>
      <c r="AP21" s="1171">
        <v>16</v>
      </c>
      <c r="AQ21" s="1171">
        <v>0</v>
      </c>
      <c r="AR21" s="1171">
        <v>0</v>
      </c>
      <c r="AS21" s="1171">
        <v>0</v>
      </c>
      <c r="AT21" s="1171">
        <v>90</v>
      </c>
      <c r="AU21" s="1171">
        <v>1</v>
      </c>
      <c r="AV21" s="1171">
        <v>0</v>
      </c>
      <c r="AW21" s="1171">
        <v>4</v>
      </c>
      <c r="AX21" s="1171">
        <v>1</v>
      </c>
      <c r="AY21" s="1171">
        <v>3</v>
      </c>
      <c r="AZ21" s="1171">
        <v>58</v>
      </c>
      <c r="BA21" s="1171">
        <v>11</v>
      </c>
      <c r="BB21" s="1173">
        <v>1144</v>
      </c>
      <c r="BC21" s="1171">
        <v>114</v>
      </c>
      <c r="BD21" s="1171">
        <v>107</v>
      </c>
      <c r="BE21" s="1171">
        <v>34</v>
      </c>
      <c r="BF21" s="1171">
        <v>59</v>
      </c>
      <c r="BG21" s="1171">
        <v>1390</v>
      </c>
      <c r="BH21" s="1171">
        <v>259</v>
      </c>
      <c r="BI21" s="1181">
        <f t="shared" si="2"/>
        <v>3108</v>
      </c>
      <c r="BJ21" s="1171">
        <v>209</v>
      </c>
      <c r="BK21" s="1181">
        <f t="shared" si="3"/>
        <v>2508</v>
      </c>
      <c r="BL21" s="1175">
        <v>6</v>
      </c>
    </row>
    <row r="22" spans="1:64" s="1166" customFormat="1" ht="129.94999999999999" customHeight="1" thickBot="1">
      <c r="A22" s="1204">
        <v>16</v>
      </c>
      <c r="B22" s="1170" t="s">
        <v>1668</v>
      </c>
      <c r="C22" s="1171">
        <v>2263</v>
      </c>
      <c r="D22" s="1180">
        <v>20.632749817651348</v>
      </c>
      <c r="E22" s="1171">
        <v>1055</v>
      </c>
      <c r="F22" s="1193">
        <v>820</v>
      </c>
      <c r="G22" s="1173">
        <v>9</v>
      </c>
      <c r="H22" s="1173">
        <v>62</v>
      </c>
      <c r="I22" s="1173">
        <v>1</v>
      </c>
      <c r="J22" s="1173">
        <v>28</v>
      </c>
      <c r="K22" s="1173">
        <v>11</v>
      </c>
      <c r="L22" s="1173">
        <v>0</v>
      </c>
      <c r="M22" s="1173">
        <v>3</v>
      </c>
      <c r="N22" s="1173">
        <v>50</v>
      </c>
      <c r="O22" s="1173">
        <v>22</v>
      </c>
      <c r="P22" s="1173">
        <v>70</v>
      </c>
      <c r="Q22" s="1173">
        <v>15</v>
      </c>
      <c r="R22" s="1173">
        <v>679</v>
      </c>
      <c r="S22" s="1173">
        <v>18</v>
      </c>
      <c r="T22" s="1171">
        <v>1</v>
      </c>
      <c r="U22" s="1171">
        <v>0</v>
      </c>
      <c r="V22" s="1171">
        <v>37</v>
      </c>
      <c r="W22" s="1171">
        <v>8</v>
      </c>
      <c r="X22" s="1171">
        <v>83</v>
      </c>
      <c r="Y22" s="1171">
        <v>0</v>
      </c>
      <c r="Z22" s="1171">
        <v>8</v>
      </c>
      <c r="AA22" s="1171">
        <v>10</v>
      </c>
      <c r="AB22" s="1171">
        <v>0</v>
      </c>
      <c r="AC22" s="1171">
        <v>8</v>
      </c>
      <c r="AD22" s="1171">
        <v>19</v>
      </c>
      <c r="AE22" s="1171">
        <v>12</v>
      </c>
      <c r="AF22" s="1171">
        <v>3</v>
      </c>
      <c r="AG22" s="1171">
        <v>0</v>
      </c>
      <c r="AH22" s="1171">
        <v>2</v>
      </c>
      <c r="AI22" s="1171">
        <v>10</v>
      </c>
      <c r="AJ22" s="1171">
        <v>0</v>
      </c>
      <c r="AK22" s="1171">
        <v>0</v>
      </c>
      <c r="AL22" s="1171">
        <v>338</v>
      </c>
      <c r="AM22" s="1171">
        <v>279</v>
      </c>
      <c r="AN22" s="1171">
        <v>0</v>
      </c>
      <c r="AO22" s="1171">
        <v>0</v>
      </c>
      <c r="AP22" s="1171">
        <v>0</v>
      </c>
      <c r="AQ22" s="1171">
        <v>0</v>
      </c>
      <c r="AR22" s="1171">
        <v>59</v>
      </c>
      <c r="AS22" s="1171">
        <v>21</v>
      </c>
      <c r="AT22" s="1171">
        <v>21</v>
      </c>
      <c r="AU22" s="1171">
        <v>2</v>
      </c>
      <c r="AV22" s="1171">
        <v>2</v>
      </c>
      <c r="AW22" s="1171">
        <v>4</v>
      </c>
      <c r="AX22" s="1171">
        <v>47</v>
      </c>
      <c r="AY22" s="1171">
        <v>35</v>
      </c>
      <c r="AZ22" s="1171">
        <v>0</v>
      </c>
      <c r="BA22" s="1171">
        <v>4</v>
      </c>
      <c r="BB22" s="1173">
        <v>1173</v>
      </c>
      <c r="BC22" s="1171">
        <v>127</v>
      </c>
      <c r="BD22" s="1171">
        <v>1594</v>
      </c>
      <c r="BE22" s="1171">
        <v>1594</v>
      </c>
      <c r="BF22" s="1171">
        <v>1594</v>
      </c>
      <c r="BG22" s="1171">
        <v>581</v>
      </c>
      <c r="BH22" s="1171">
        <v>64</v>
      </c>
      <c r="BI22" s="1181">
        <f t="shared" si="2"/>
        <v>768</v>
      </c>
      <c r="BJ22" s="1171">
        <v>151</v>
      </c>
      <c r="BK22" s="1181">
        <f t="shared" si="3"/>
        <v>1812</v>
      </c>
      <c r="BL22" s="1175">
        <v>7</v>
      </c>
    </row>
    <row r="23" spans="1:64" s="1166" customFormat="1" ht="129.94999999999999" customHeight="1" thickBot="1">
      <c r="A23" s="1204">
        <v>17</v>
      </c>
      <c r="B23" s="1170" t="s">
        <v>1669</v>
      </c>
      <c r="C23" s="1171">
        <v>630</v>
      </c>
      <c r="D23" s="1180">
        <v>1.4624634384140396</v>
      </c>
      <c r="E23" s="1171">
        <v>553</v>
      </c>
      <c r="F23" s="1193">
        <v>264</v>
      </c>
      <c r="G23" s="1173">
        <v>4</v>
      </c>
      <c r="H23" s="1173">
        <v>30</v>
      </c>
      <c r="I23" s="1173">
        <v>0</v>
      </c>
      <c r="J23" s="1173">
        <v>1</v>
      </c>
      <c r="K23" s="1173">
        <v>18</v>
      </c>
      <c r="L23" s="1173">
        <v>0</v>
      </c>
      <c r="M23" s="1173">
        <v>0</v>
      </c>
      <c r="N23" s="1173">
        <v>3</v>
      </c>
      <c r="O23" s="1173">
        <v>1</v>
      </c>
      <c r="P23" s="1173">
        <v>71</v>
      </c>
      <c r="Q23" s="1173">
        <v>0</v>
      </c>
      <c r="R23" s="1173">
        <v>0</v>
      </c>
      <c r="S23" s="1173">
        <v>3</v>
      </c>
      <c r="T23" s="1171">
        <v>2</v>
      </c>
      <c r="U23" s="1171">
        <v>0</v>
      </c>
      <c r="V23" s="1171">
        <v>0</v>
      </c>
      <c r="W23" s="1171">
        <v>0</v>
      </c>
      <c r="X23" s="1171">
        <v>25</v>
      </c>
      <c r="Y23" s="1171">
        <v>0</v>
      </c>
      <c r="Z23" s="1171">
        <v>0</v>
      </c>
      <c r="AA23" s="1171">
        <v>19</v>
      </c>
      <c r="AB23" s="1171">
        <v>0</v>
      </c>
      <c r="AC23" s="1171">
        <v>0</v>
      </c>
      <c r="AD23" s="1171">
        <v>38</v>
      </c>
      <c r="AE23" s="1171">
        <v>0</v>
      </c>
      <c r="AF23" s="1171">
        <v>0</v>
      </c>
      <c r="AG23" s="1171">
        <v>0</v>
      </c>
      <c r="AH23" s="1171">
        <v>2</v>
      </c>
      <c r="AI23" s="1171">
        <v>1</v>
      </c>
      <c r="AJ23" s="1171">
        <v>0</v>
      </c>
      <c r="AK23" s="1171">
        <v>0</v>
      </c>
      <c r="AL23" s="1171">
        <v>229</v>
      </c>
      <c r="AM23" s="1171">
        <v>229</v>
      </c>
      <c r="AN23" s="1171">
        <v>13</v>
      </c>
      <c r="AO23" s="1171">
        <v>15</v>
      </c>
      <c r="AP23" s="1171">
        <v>55</v>
      </c>
      <c r="AQ23" s="1171">
        <v>0</v>
      </c>
      <c r="AR23" s="1171">
        <v>0</v>
      </c>
      <c r="AS23" s="1171">
        <v>0</v>
      </c>
      <c r="AT23" s="1171">
        <v>44</v>
      </c>
      <c r="AU23" s="1171">
        <v>3</v>
      </c>
      <c r="AV23" s="1171">
        <v>4</v>
      </c>
      <c r="AW23" s="1171">
        <v>17</v>
      </c>
      <c r="AX23" s="1171">
        <v>1</v>
      </c>
      <c r="AY23" s="1171">
        <v>4</v>
      </c>
      <c r="AZ23" s="1171">
        <v>90</v>
      </c>
      <c r="BA23" s="1171">
        <v>46</v>
      </c>
      <c r="BB23" s="1173">
        <v>413</v>
      </c>
      <c r="BC23" s="1171">
        <v>59</v>
      </c>
      <c r="BD23" s="1171">
        <v>37</v>
      </c>
      <c r="BE23" s="1171">
        <v>14</v>
      </c>
      <c r="BF23" s="1171">
        <v>14</v>
      </c>
      <c r="BG23" s="1171">
        <v>100</v>
      </c>
      <c r="BH23" s="1171">
        <v>32</v>
      </c>
      <c r="BI23" s="1181">
        <f t="shared" si="2"/>
        <v>384</v>
      </c>
      <c r="BJ23" s="1171">
        <v>28</v>
      </c>
      <c r="BK23" s="1181">
        <f t="shared" si="3"/>
        <v>336</v>
      </c>
      <c r="BL23" s="1175">
        <v>2</v>
      </c>
    </row>
    <row r="24" spans="1:64" s="1166" customFormat="1" ht="129.94999999999999" customHeight="1" thickBot="1">
      <c r="A24" s="1204">
        <v>18</v>
      </c>
      <c r="B24" s="1170" t="s">
        <v>1670</v>
      </c>
      <c r="C24" s="1171">
        <v>1155</v>
      </c>
      <c r="D24" s="1180">
        <v>12.780790085205268</v>
      </c>
      <c r="E24" s="1171">
        <v>715</v>
      </c>
      <c r="F24" s="1193">
        <v>482</v>
      </c>
      <c r="G24" s="1173">
        <v>28</v>
      </c>
      <c r="H24" s="1173">
        <v>18</v>
      </c>
      <c r="I24" s="1173">
        <v>0</v>
      </c>
      <c r="J24" s="1173">
        <v>9</v>
      </c>
      <c r="K24" s="1173">
        <v>17</v>
      </c>
      <c r="L24" s="1173">
        <v>3</v>
      </c>
      <c r="M24" s="1173">
        <v>5</v>
      </c>
      <c r="N24" s="1173">
        <v>32</v>
      </c>
      <c r="O24" s="1173">
        <v>10</v>
      </c>
      <c r="P24" s="1173">
        <v>80</v>
      </c>
      <c r="Q24" s="1173">
        <v>6</v>
      </c>
      <c r="R24" s="1173">
        <v>55</v>
      </c>
      <c r="S24" s="1173">
        <v>7</v>
      </c>
      <c r="T24" s="1171">
        <v>10</v>
      </c>
      <c r="U24" s="1171">
        <v>0</v>
      </c>
      <c r="V24" s="1171">
        <v>0</v>
      </c>
      <c r="W24" s="1171">
        <v>1</v>
      </c>
      <c r="X24" s="1171">
        <v>84</v>
      </c>
      <c r="Y24" s="1171">
        <v>0</v>
      </c>
      <c r="Z24" s="1171">
        <v>21</v>
      </c>
      <c r="AA24" s="1171">
        <v>86</v>
      </c>
      <c r="AB24" s="1171">
        <v>0</v>
      </c>
      <c r="AC24" s="1171">
        <v>0</v>
      </c>
      <c r="AD24" s="1171">
        <v>5</v>
      </c>
      <c r="AE24" s="1171">
        <v>5</v>
      </c>
      <c r="AF24" s="1171">
        <v>1</v>
      </c>
      <c r="AG24" s="1171">
        <v>0</v>
      </c>
      <c r="AH24" s="1171">
        <v>1</v>
      </c>
      <c r="AI24" s="1171">
        <v>7</v>
      </c>
      <c r="AJ24" s="1171">
        <v>2</v>
      </c>
      <c r="AK24" s="1171">
        <v>0</v>
      </c>
      <c r="AL24" s="1171">
        <v>119</v>
      </c>
      <c r="AM24" s="1171">
        <v>108</v>
      </c>
      <c r="AN24" s="1171">
        <v>7</v>
      </c>
      <c r="AO24" s="1171">
        <v>4</v>
      </c>
      <c r="AP24" s="1171">
        <v>0</v>
      </c>
      <c r="AQ24" s="1171">
        <v>0</v>
      </c>
      <c r="AR24" s="1171">
        <v>0</v>
      </c>
      <c r="AS24" s="1171">
        <v>0</v>
      </c>
      <c r="AT24" s="1171">
        <v>37</v>
      </c>
      <c r="AU24" s="1171">
        <v>4</v>
      </c>
      <c r="AV24" s="1171">
        <v>0</v>
      </c>
      <c r="AW24" s="1171">
        <v>1</v>
      </c>
      <c r="AX24" s="1171">
        <v>0</v>
      </c>
      <c r="AY24" s="1171">
        <v>0</v>
      </c>
      <c r="AZ24" s="1171">
        <v>53</v>
      </c>
      <c r="BA24" s="1171">
        <v>1</v>
      </c>
      <c r="BB24" s="1173">
        <v>626</v>
      </c>
      <c r="BC24" s="1171">
        <v>85</v>
      </c>
      <c r="BD24" s="1171">
        <v>90</v>
      </c>
      <c r="BE24" s="1171">
        <v>13</v>
      </c>
      <c r="BF24" s="1171">
        <v>5</v>
      </c>
      <c r="BG24" s="1171">
        <v>246</v>
      </c>
      <c r="BH24" s="1171">
        <v>94</v>
      </c>
      <c r="BI24" s="1181">
        <f t="shared" si="2"/>
        <v>1128</v>
      </c>
      <c r="BJ24" s="1171">
        <v>47</v>
      </c>
      <c r="BK24" s="1181">
        <f t="shared" si="3"/>
        <v>564</v>
      </c>
      <c r="BL24" s="1175">
        <v>5</v>
      </c>
    </row>
    <row r="25" spans="1:64" s="1166" customFormat="1" ht="132" customHeight="1" thickBot="1">
      <c r="A25" s="1204">
        <v>19</v>
      </c>
      <c r="B25" s="1170" t="s">
        <v>1671</v>
      </c>
      <c r="C25" s="1171">
        <v>2199</v>
      </c>
      <c r="D25" s="1192">
        <v>15.6</v>
      </c>
      <c r="E25" s="1171">
        <v>1360</v>
      </c>
      <c r="F25" s="1193">
        <v>1112</v>
      </c>
      <c r="G25" s="1173">
        <v>2</v>
      </c>
      <c r="H25" s="1173">
        <v>50</v>
      </c>
      <c r="I25" s="1173">
        <v>0</v>
      </c>
      <c r="J25" s="1173">
        <v>24</v>
      </c>
      <c r="K25" s="1173">
        <v>26</v>
      </c>
      <c r="L25" s="1173">
        <v>0</v>
      </c>
      <c r="M25" s="1173">
        <v>0</v>
      </c>
      <c r="N25" s="1173">
        <v>47</v>
      </c>
      <c r="O25" s="1173">
        <v>25</v>
      </c>
      <c r="P25" s="1173">
        <v>132</v>
      </c>
      <c r="Q25" s="1173">
        <v>73</v>
      </c>
      <c r="R25" s="1173">
        <v>53</v>
      </c>
      <c r="S25" s="1173">
        <v>15</v>
      </c>
      <c r="T25" s="1171">
        <v>19</v>
      </c>
      <c r="U25" s="1171">
        <v>0</v>
      </c>
      <c r="V25" s="1171">
        <v>2</v>
      </c>
      <c r="W25" s="1171">
        <v>19</v>
      </c>
      <c r="X25" s="1171">
        <v>100</v>
      </c>
      <c r="Y25" s="1171">
        <v>0</v>
      </c>
      <c r="Z25" s="1171">
        <v>23</v>
      </c>
      <c r="AA25" s="1171">
        <v>16</v>
      </c>
      <c r="AB25" s="1171">
        <v>0</v>
      </c>
      <c r="AC25" s="1171">
        <v>0</v>
      </c>
      <c r="AD25" s="1171">
        <v>55</v>
      </c>
      <c r="AE25" s="1171">
        <v>55</v>
      </c>
      <c r="AF25" s="1171">
        <v>3</v>
      </c>
      <c r="AG25" s="1171">
        <v>0</v>
      </c>
      <c r="AH25" s="1171">
        <v>2</v>
      </c>
      <c r="AI25" s="1171">
        <v>24</v>
      </c>
      <c r="AJ25" s="1171">
        <v>6</v>
      </c>
      <c r="AK25" s="1171">
        <v>0</v>
      </c>
      <c r="AL25" s="1171">
        <v>268</v>
      </c>
      <c r="AM25" s="1171">
        <v>268</v>
      </c>
      <c r="AN25" s="1171">
        <v>0</v>
      </c>
      <c r="AO25" s="1171">
        <v>35</v>
      </c>
      <c r="AP25" s="1171">
        <v>158</v>
      </c>
      <c r="AQ25" s="1171">
        <v>0</v>
      </c>
      <c r="AR25" s="1171">
        <v>0</v>
      </c>
      <c r="AS25" s="1171">
        <v>3</v>
      </c>
      <c r="AT25" s="1171">
        <v>24</v>
      </c>
      <c r="AU25" s="1171">
        <v>4</v>
      </c>
      <c r="AV25" s="1171">
        <v>25</v>
      </c>
      <c r="AW25" s="1171">
        <v>16</v>
      </c>
      <c r="AX25" s="1171">
        <v>3</v>
      </c>
      <c r="AY25" s="1171">
        <v>8</v>
      </c>
      <c r="AZ25" s="1171">
        <v>72</v>
      </c>
      <c r="BA25" s="1171">
        <v>48</v>
      </c>
      <c r="BB25" s="1173">
        <v>1209</v>
      </c>
      <c r="BC25" s="1171">
        <v>282</v>
      </c>
      <c r="BD25" s="1171">
        <v>238</v>
      </c>
      <c r="BE25" s="1171">
        <v>69</v>
      </c>
      <c r="BF25" s="1171">
        <v>74</v>
      </c>
      <c r="BG25" s="1171">
        <v>5907</v>
      </c>
      <c r="BH25" s="1171">
        <v>117</v>
      </c>
      <c r="BI25" s="1171">
        <f t="shared" si="2"/>
        <v>1404</v>
      </c>
      <c r="BJ25" s="1171">
        <v>382</v>
      </c>
      <c r="BK25" s="1171">
        <f t="shared" si="3"/>
        <v>4584</v>
      </c>
      <c r="BL25" s="1175">
        <v>15</v>
      </c>
    </row>
    <row r="26" spans="1:64" s="1166" customFormat="1" ht="132" customHeight="1" thickBot="1">
      <c r="A26" s="1204">
        <v>20</v>
      </c>
      <c r="B26" s="1170" t="s">
        <v>1672</v>
      </c>
      <c r="C26" s="1171">
        <v>2281</v>
      </c>
      <c r="D26" s="1195">
        <v>22.6</v>
      </c>
      <c r="E26" s="1171">
        <v>1256</v>
      </c>
      <c r="F26" s="1193">
        <v>1006</v>
      </c>
      <c r="G26" s="1173">
        <v>21</v>
      </c>
      <c r="H26" s="1173">
        <v>45</v>
      </c>
      <c r="I26" s="1173">
        <v>11</v>
      </c>
      <c r="J26" s="1173">
        <v>18</v>
      </c>
      <c r="K26" s="1173">
        <v>33</v>
      </c>
      <c r="L26" s="1173">
        <v>5</v>
      </c>
      <c r="M26" s="1173">
        <v>1</v>
      </c>
      <c r="N26" s="1173">
        <v>68</v>
      </c>
      <c r="O26" s="1173">
        <v>4</v>
      </c>
      <c r="P26" s="1173">
        <v>130</v>
      </c>
      <c r="Q26" s="1173">
        <v>63</v>
      </c>
      <c r="R26" s="1173">
        <v>46</v>
      </c>
      <c r="S26" s="1173">
        <v>16</v>
      </c>
      <c r="T26" s="1171">
        <v>2</v>
      </c>
      <c r="U26" s="1171">
        <v>0</v>
      </c>
      <c r="V26" s="1171">
        <v>0</v>
      </c>
      <c r="W26" s="1171">
        <v>21</v>
      </c>
      <c r="X26" s="1171">
        <v>203</v>
      </c>
      <c r="Y26" s="1171">
        <v>0</v>
      </c>
      <c r="Z26" s="1171">
        <v>7</v>
      </c>
      <c r="AA26" s="1171">
        <v>13</v>
      </c>
      <c r="AB26" s="1171">
        <v>0</v>
      </c>
      <c r="AC26" s="1171">
        <v>0</v>
      </c>
      <c r="AD26" s="1171">
        <v>20</v>
      </c>
      <c r="AE26" s="1171">
        <v>20</v>
      </c>
      <c r="AF26" s="1171">
        <v>0</v>
      </c>
      <c r="AG26" s="1171">
        <v>0</v>
      </c>
      <c r="AH26" s="1171">
        <v>0</v>
      </c>
      <c r="AI26" s="1171">
        <v>10</v>
      </c>
      <c r="AJ26" s="1171">
        <v>4</v>
      </c>
      <c r="AK26" s="1171">
        <v>0</v>
      </c>
      <c r="AL26" s="1171">
        <v>411</v>
      </c>
      <c r="AM26" s="1171">
        <v>411</v>
      </c>
      <c r="AN26" s="1171">
        <v>0</v>
      </c>
      <c r="AO26" s="1171">
        <v>54</v>
      </c>
      <c r="AP26" s="1171">
        <v>117</v>
      </c>
      <c r="AQ26" s="1171">
        <v>0</v>
      </c>
      <c r="AR26" s="1171">
        <v>0</v>
      </c>
      <c r="AS26" s="1171">
        <v>3</v>
      </c>
      <c r="AT26" s="1171">
        <v>85</v>
      </c>
      <c r="AU26" s="1171">
        <v>3</v>
      </c>
      <c r="AV26" s="1171">
        <v>8</v>
      </c>
      <c r="AW26" s="1171">
        <v>13</v>
      </c>
      <c r="AX26" s="1171">
        <v>0</v>
      </c>
      <c r="AY26" s="1171">
        <v>1</v>
      </c>
      <c r="AZ26" s="1171">
        <v>106</v>
      </c>
      <c r="BA26" s="1171">
        <v>40</v>
      </c>
      <c r="BB26" s="1173">
        <v>3684</v>
      </c>
      <c r="BC26" s="1171">
        <v>148</v>
      </c>
      <c r="BD26" s="1171">
        <v>170</v>
      </c>
      <c r="BE26" s="1171">
        <v>68</v>
      </c>
      <c r="BF26" s="1171">
        <v>40</v>
      </c>
      <c r="BG26" s="1171">
        <v>3427</v>
      </c>
      <c r="BH26" s="1171">
        <v>69</v>
      </c>
      <c r="BI26" s="1171">
        <f t="shared" si="2"/>
        <v>828</v>
      </c>
      <c r="BJ26" s="1171">
        <v>97</v>
      </c>
      <c r="BK26" s="1171">
        <f t="shared" si="3"/>
        <v>1164</v>
      </c>
      <c r="BL26" s="1175">
        <v>10</v>
      </c>
    </row>
    <row r="27" spans="1:64" s="1166" customFormat="1" ht="129.94999999999999" customHeight="1" thickBot="1">
      <c r="A27" s="1204">
        <v>21</v>
      </c>
      <c r="B27" s="1182" t="s">
        <v>1673</v>
      </c>
      <c r="C27" s="1171">
        <v>1626</v>
      </c>
      <c r="D27" s="1180">
        <v>14.395750332005312</v>
      </c>
      <c r="E27" s="1171">
        <v>973</v>
      </c>
      <c r="F27" s="1193">
        <v>699</v>
      </c>
      <c r="G27" s="1173">
        <v>9</v>
      </c>
      <c r="H27" s="1173">
        <v>57</v>
      </c>
      <c r="I27" s="1173">
        <v>5</v>
      </c>
      <c r="J27" s="1173">
        <v>11</v>
      </c>
      <c r="K27" s="1173">
        <v>29</v>
      </c>
      <c r="L27" s="1173">
        <v>0</v>
      </c>
      <c r="M27" s="1173">
        <v>0</v>
      </c>
      <c r="N27" s="1173">
        <v>40</v>
      </c>
      <c r="O27" s="1173">
        <v>18</v>
      </c>
      <c r="P27" s="1173">
        <v>106</v>
      </c>
      <c r="Q27" s="1173">
        <v>3</v>
      </c>
      <c r="R27" s="1173">
        <v>63</v>
      </c>
      <c r="S27" s="1173">
        <v>7</v>
      </c>
      <c r="T27" s="1171">
        <v>6</v>
      </c>
      <c r="U27" s="1171">
        <v>0</v>
      </c>
      <c r="V27" s="1171">
        <v>17</v>
      </c>
      <c r="W27" s="1171">
        <v>11</v>
      </c>
      <c r="X27" s="1171">
        <v>28</v>
      </c>
      <c r="Y27" s="1171">
        <v>0</v>
      </c>
      <c r="Z27" s="1171">
        <v>0</v>
      </c>
      <c r="AA27" s="1171">
        <v>0</v>
      </c>
      <c r="AB27" s="1171">
        <v>0</v>
      </c>
      <c r="AC27" s="1171">
        <v>0</v>
      </c>
      <c r="AD27" s="1171">
        <v>23</v>
      </c>
      <c r="AE27" s="1171">
        <v>24</v>
      </c>
      <c r="AF27" s="1171">
        <v>2</v>
      </c>
      <c r="AG27" s="1171">
        <v>0</v>
      </c>
      <c r="AH27" s="1171">
        <v>2</v>
      </c>
      <c r="AI27" s="1171">
        <v>15</v>
      </c>
      <c r="AJ27" s="1171">
        <v>2</v>
      </c>
      <c r="AK27" s="1171">
        <v>0</v>
      </c>
      <c r="AL27" s="1171">
        <v>143</v>
      </c>
      <c r="AM27" s="1171">
        <v>143</v>
      </c>
      <c r="AN27" s="1171">
        <v>0</v>
      </c>
      <c r="AO27" s="1171">
        <v>0</v>
      </c>
      <c r="AP27" s="1171">
        <v>0</v>
      </c>
      <c r="AQ27" s="1171">
        <v>0</v>
      </c>
      <c r="AR27" s="1171">
        <v>0</v>
      </c>
      <c r="AS27" s="1171">
        <v>0</v>
      </c>
      <c r="AT27" s="1171">
        <v>21</v>
      </c>
      <c r="AU27" s="1171">
        <v>1</v>
      </c>
      <c r="AV27" s="1171">
        <v>0</v>
      </c>
      <c r="AW27" s="1171">
        <v>9</v>
      </c>
      <c r="AX27" s="1171">
        <v>0</v>
      </c>
      <c r="AY27" s="1171">
        <v>4</v>
      </c>
      <c r="AZ27" s="1171">
        <v>8</v>
      </c>
      <c r="BA27" s="1171">
        <v>20</v>
      </c>
      <c r="BB27" s="1173">
        <v>926</v>
      </c>
      <c r="BC27" s="1171">
        <v>35</v>
      </c>
      <c r="BD27" s="1171">
        <v>37</v>
      </c>
      <c r="BE27" s="1171">
        <v>0</v>
      </c>
      <c r="BF27" s="1171">
        <v>0</v>
      </c>
      <c r="BG27" s="1171">
        <v>474</v>
      </c>
      <c r="BH27" s="1171">
        <v>29</v>
      </c>
      <c r="BI27" s="1181">
        <f t="shared" si="2"/>
        <v>348</v>
      </c>
      <c r="BJ27" s="1171">
        <v>14</v>
      </c>
      <c r="BK27" s="1181">
        <f t="shared" si="3"/>
        <v>168</v>
      </c>
      <c r="BL27" s="1175">
        <v>13</v>
      </c>
    </row>
    <row r="28" spans="1:64" s="1166" customFormat="1" ht="129.94999999999999" customHeight="1" thickBot="1">
      <c r="A28" s="1204">
        <v>22</v>
      </c>
      <c r="B28" s="1170" t="s">
        <v>1674</v>
      </c>
      <c r="C28" s="1171">
        <v>569</v>
      </c>
      <c r="D28" s="1180">
        <v>11.727122835943939</v>
      </c>
      <c r="E28" s="1171">
        <v>228</v>
      </c>
      <c r="F28" s="1193">
        <v>436</v>
      </c>
      <c r="G28" s="1173">
        <v>0</v>
      </c>
      <c r="H28" s="1173">
        <v>0</v>
      </c>
      <c r="I28" s="1173">
        <v>0</v>
      </c>
      <c r="J28" s="1173">
        <v>5</v>
      </c>
      <c r="K28" s="1173">
        <v>0</v>
      </c>
      <c r="L28" s="1173">
        <v>0</v>
      </c>
      <c r="M28" s="1173">
        <v>0</v>
      </c>
      <c r="N28" s="1173">
        <v>29</v>
      </c>
      <c r="O28" s="1173">
        <v>4</v>
      </c>
      <c r="P28" s="1173">
        <v>26</v>
      </c>
      <c r="Q28" s="1173">
        <v>0</v>
      </c>
      <c r="R28" s="1173">
        <v>367</v>
      </c>
      <c r="S28" s="1173">
        <v>0</v>
      </c>
      <c r="T28" s="1171">
        <v>0</v>
      </c>
      <c r="U28" s="1171">
        <v>0</v>
      </c>
      <c r="V28" s="1171">
        <v>0</v>
      </c>
      <c r="W28" s="1171">
        <v>0</v>
      </c>
      <c r="X28" s="1171">
        <v>5</v>
      </c>
      <c r="Y28" s="1171">
        <v>0</v>
      </c>
      <c r="Z28" s="1171">
        <v>0</v>
      </c>
      <c r="AA28" s="1171">
        <v>0</v>
      </c>
      <c r="AB28" s="1171">
        <v>0</v>
      </c>
      <c r="AC28" s="1171">
        <v>0</v>
      </c>
      <c r="AD28" s="1171">
        <v>0</v>
      </c>
      <c r="AE28" s="1171">
        <v>0</v>
      </c>
      <c r="AF28" s="1171">
        <v>0</v>
      </c>
      <c r="AG28" s="1171">
        <v>0</v>
      </c>
      <c r="AH28" s="1171">
        <v>0</v>
      </c>
      <c r="AI28" s="1171">
        <v>0</v>
      </c>
      <c r="AJ28" s="1171">
        <v>0</v>
      </c>
      <c r="AK28" s="1171">
        <v>0</v>
      </c>
      <c r="AL28" s="1171">
        <v>37</v>
      </c>
      <c r="AM28" s="1171">
        <v>38</v>
      </c>
      <c r="AN28" s="1171">
        <v>0</v>
      </c>
      <c r="AO28" s="1171">
        <v>0</v>
      </c>
      <c r="AP28" s="1171">
        <v>4</v>
      </c>
      <c r="AQ28" s="1171">
        <v>0</v>
      </c>
      <c r="AR28" s="1171">
        <v>0</v>
      </c>
      <c r="AS28" s="1171">
        <v>0</v>
      </c>
      <c r="AT28" s="1171">
        <v>14</v>
      </c>
      <c r="AU28" s="1171">
        <v>1</v>
      </c>
      <c r="AV28" s="1171">
        <v>1</v>
      </c>
      <c r="AW28" s="1171">
        <v>4</v>
      </c>
      <c r="AX28" s="1171">
        <v>0</v>
      </c>
      <c r="AY28" s="1171">
        <v>0</v>
      </c>
      <c r="AZ28" s="1171">
        <v>5</v>
      </c>
      <c r="BA28" s="1171">
        <v>3</v>
      </c>
      <c r="BB28" s="1173">
        <v>502</v>
      </c>
      <c r="BC28" s="1171">
        <v>102</v>
      </c>
      <c r="BD28" s="1171">
        <v>8</v>
      </c>
      <c r="BE28" s="1171">
        <v>55</v>
      </c>
      <c r="BF28" s="1171">
        <v>50</v>
      </c>
      <c r="BG28" s="1171">
        <v>157</v>
      </c>
      <c r="BH28" s="1171">
        <v>119</v>
      </c>
      <c r="BI28" s="1181">
        <f t="shared" si="2"/>
        <v>1428</v>
      </c>
      <c r="BJ28" s="1171">
        <v>149</v>
      </c>
      <c r="BK28" s="1181">
        <f t="shared" si="3"/>
        <v>1788</v>
      </c>
      <c r="BL28" s="1175">
        <v>2</v>
      </c>
    </row>
    <row r="29" spans="1:64" s="1166" customFormat="1" ht="129.94999999999999" customHeight="1" thickBot="1">
      <c r="A29" s="1204">
        <v>23</v>
      </c>
      <c r="B29" s="1170" t="s">
        <v>1675</v>
      </c>
      <c r="C29" s="1171">
        <v>1165</v>
      </c>
      <c r="D29" s="1180">
        <v>18.152072296665629</v>
      </c>
      <c r="E29" s="1171">
        <v>759</v>
      </c>
      <c r="F29" s="1193">
        <v>790</v>
      </c>
      <c r="G29" s="1173">
        <v>1</v>
      </c>
      <c r="H29" s="1173">
        <v>63</v>
      </c>
      <c r="I29" s="1173">
        <v>0</v>
      </c>
      <c r="J29" s="1173">
        <v>1</v>
      </c>
      <c r="K29" s="1173">
        <v>23</v>
      </c>
      <c r="L29" s="1173">
        <v>0</v>
      </c>
      <c r="M29" s="1173">
        <v>0</v>
      </c>
      <c r="N29" s="1173">
        <v>18</v>
      </c>
      <c r="O29" s="1173">
        <v>7</v>
      </c>
      <c r="P29" s="1173">
        <v>68</v>
      </c>
      <c r="Q29" s="1173">
        <v>0</v>
      </c>
      <c r="R29" s="1173">
        <v>31</v>
      </c>
      <c r="S29" s="1173">
        <v>11</v>
      </c>
      <c r="T29" s="1171">
        <v>5</v>
      </c>
      <c r="U29" s="1171">
        <v>0</v>
      </c>
      <c r="V29" s="1171">
        <v>0</v>
      </c>
      <c r="W29" s="1171">
        <v>1</v>
      </c>
      <c r="X29" s="1171">
        <v>100</v>
      </c>
      <c r="Y29" s="1171">
        <v>0</v>
      </c>
      <c r="Z29" s="1171">
        <v>1</v>
      </c>
      <c r="AA29" s="1171">
        <v>0</v>
      </c>
      <c r="AB29" s="1171">
        <v>0</v>
      </c>
      <c r="AC29" s="1171">
        <v>0</v>
      </c>
      <c r="AD29" s="1171">
        <v>0</v>
      </c>
      <c r="AE29" s="1171">
        <v>0</v>
      </c>
      <c r="AF29" s="1171">
        <v>2</v>
      </c>
      <c r="AG29" s="1171">
        <v>0</v>
      </c>
      <c r="AH29" s="1171">
        <v>0</v>
      </c>
      <c r="AI29" s="1171">
        <v>11</v>
      </c>
      <c r="AJ29" s="1171">
        <v>0</v>
      </c>
      <c r="AK29" s="1171">
        <v>0</v>
      </c>
      <c r="AL29" s="1171">
        <v>266</v>
      </c>
      <c r="AM29" s="1171">
        <v>266</v>
      </c>
      <c r="AN29" s="1171">
        <v>18</v>
      </c>
      <c r="AO29" s="1171">
        <v>15</v>
      </c>
      <c r="AP29" s="1171">
        <v>43</v>
      </c>
      <c r="AQ29" s="1171">
        <v>0</v>
      </c>
      <c r="AR29" s="1171">
        <v>0</v>
      </c>
      <c r="AS29" s="1171">
        <v>0</v>
      </c>
      <c r="AT29" s="1171">
        <v>75</v>
      </c>
      <c r="AU29" s="1171">
        <v>3</v>
      </c>
      <c r="AV29" s="1171">
        <v>1</v>
      </c>
      <c r="AW29" s="1171">
        <v>7</v>
      </c>
      <c r="AX29" s="1171">
        <v>0</v>
      </c>
      <c r="AY29" s="1171">
        <v>8</v>
      </c>
      <c r="AZ29" s="1171">
        <v>74</v>
      </c>
      <c r="BA29" s="1171">
        <v>45</v>
      </c>
      <c r="BB29" s="1173">
        <v>4707</v>
      </c>
      <c r="BC29" s="1171">
        <v>52</v>
      </c>
      <c r="BD29" s="1171">
        <v>42</v>
      </c>
      <c r="BE29" s="1171">
        <v>8</v>
      </c>
      <c r="BF29" s="1171">
        <v>38</v>
      </c>
      <c r="BG29" s="1171">
        <v>267</v>
      </c>
      <c r="BH29" s="1171">
        <v>29</v>
      </c>
      <c r="BI29" s="1181">
        <f t="shared" si="2"/>
        <v>348</v>
      </c>
      <c r="BJ29" s="1171">
        <v>32</v>
      </c>
      <c r="BK29" s="1181">
        <f t="shared" si="3"/>
        <v>384</v>
      </c>
      <c r="BL29" s="1175">
        <v>2</v>
      </c>
    </row>
    <row r="30" spans="1:64" s="1166" customFormat="1" ht="129.94999999999999" customHeight="1" thickBot="1">
      <c r="A30" s="1204">
        <v>24</v>
      </c>
      <c r="B30" s="1170" t="s">
        <v>1676</v>
      </c>
      <c r="C30" s="1171">
        <v>650</v>
      </c>
      <c r="D30" s="1196">
        <v>19.391408114558473</v>
      </c>
      <c r="E30" s="1171">
        <v>303</v>
      </c>
      <c r="F30" s="1193">
        <v>205</v>
      </c>
      <c r="G30" s="1173">
        <v>0</v>
      </c>
      <c r="H30" s="1173">
        <v>0</v>
      </c>
      <c r="I30" s="1173">
        <v>0</v>
      </c>
      <c r="J30" s="1173">
        <v>11</v>
      </c>
      <c r="K30" s="1173">
        <v>8</v>
      </c>
      <c r="L30" s="1173">
        <v>0</v>
      </c>
      <c r="M30" s="1173">
        <v>0</v>
      </c>
      <c r="N30" s="1173">
        <v>23</v>
      </c>
      <c r="O30" s="1173">
        <v>16</v>
      </c>
      <c r="P30" s="1173">
        <v>31</v>
      </c>
      <c r="Q30" s="1173">
        <v>0</v>
      </c>
      <c r="R30" s="1173">
        <v>8</v>
      </c>
      <c r="S30" s="1173">
        <v>6</v>
      </c>
      <c r="T30" s="1171">
        <v>0</v>
      </c>
      <c r="U30" s="1171">
        <v>0</v>
      </c>
      <c r="V30" s="1171">
        <v>0</v>
      </c>
      <c r="W30" s="1171">
        <v>2</v>
      </c>
      <c r="X30" s="1171">
        <v>29</v>
      </c>
      <c r="Y30" s="1171">
        <v>0</v>
      </c>
      <c r="Z30" s="1171">
        <v>1</v>
      </c>
      <c r="AA30" s="1171">
        <v>0</v>
      </c>
      <c r="AB30" s="1171">
        <v>0</v>
      </c>
      <c r="AC30" s="1171">
        <v>0</v>
      </c>
      <c r="AD30" s="1171">
        <v>0</v>
      </c>
      <c r="AE30" s="1171">
        <v>0</v>
      </c>
      <c r="AF30" s="1171">
        <v>0</v>
      </c>
      <c r="AG30" s="1171">
        <v>0</v>
      </c>
      <c r="AH30" s="1171">
        <v>0</v>
      </c>
      <c r="AI30" s="1171">
        <v>1</v>
      </c>
      <c r="AJ30" s="1171">
        <v>0</v>
      </c>
      <c r="AK30" s="1171">
        <v>0</v>
      </c>
      <c r="AL30" s="1171">
        <v>0</v>
      </c>
      <c r="AM30" s="1171">
        <v>0</v>
      </c>
      <c r="AN30" s="1171">
        <v>0</v>
      </c>
      <c r="AO30" s="1171">
        <v>0</v>
      </c>
      <c r="AP30" s="1171">
        <v>0</v>
      </c>
      <c r="AQ30" s="1171">
        <v>0</v>
      </c>
      <c r="AR30" s="1171">
        <v>0</v>
      </c>
      <c r="AS30" s="1171">
        <v>0</v>
      </c>
      <c r="AT30" s="1171">
        <v>0</v>
      </c>
      <c r="AU30" s="1171">
        <v>0</v>
      </c>
      <c r="AV30" s="1171">
        <v>0</v>
      </c>
      <c r="AW30" s="1171">
        <v>0</v>
      </c>
      <c r="AX30" s="1171">
        <v>0</v>
      </c>
      <c r="AY30" s="1171">
        <v>0</v>
      </c>
      <c r="AZ30" s="1171">
        <v>0</v>
      </c>
      <c r="BA30" s="1171">
        <v>0</v>
      </c>
      <c r="BB30" s="1173">
        <v>414</v>
      </c>
      <c r="BC30" s="1171">
        <v>37</v>
      </c>
      <c r="BD30" s="1171">
        <v>33</v>
      </c>
      <c r="BE30" s="1171">
        <v>7</v>
      </c>
      <c r="BF30" s="1171">
        <v>1</v>
      </c>
      <c r="BG30" s="1171">
        <v>39</v>
      </c>
      <c r="BH30" s="1171">
        <v>27</v>
      </c>
      <c r="BI30" s="1181">
        <f t="shared" si="2"/>
        <v>324</v>
      </c>
      <c r="BJ30" s="1171">
        <v>11</v>
      </c>
      <c r="BK30" s="1181">
        <f t="shared" si="3"/>
        <v>132</v>
      </c>
      <c r="BL30" s="1175">
        <v>3.7</v>
      </c>
    </row>
    <row r="31" spans="1:64" s="1166" customFormat="1" ht="132" customHeight="1" thickBot="1">
      <c r="A31" s="1204">
        <v>25</v>
      </c>
      <c r="B31" s="1170" t="s">
        <v>1677</v>
      </c>
      <c r="C31" s="1171">
        <v>6296</v>
      </c>
      <c r="D31" s="1192">
        <v>29.4</v>
      </c>
      <c r="E31" s="1171">
        <v>2797</v>
      </c>
      <c r="F31" s="1193">
        <v>3169</v>
      </c>
      <c r="G31" s="1173">
        <v>30</v>
      </c>
      <c r="H31" s="1173">
        <v>173</v>
      </c>
      <c r="I31" s="1173">
        <v>39</v>
      </c>
      <c r="J31" s="1173">
        <v>35</v>
      </c>
      <c r="K31" s="1173">
        <v>49</v>
      </c>
      <c r="L31" s="1173">
        <v>9</v>
      </c>
      <c r="M31" s="1173">
        <v>116</v>
      </c>
      <c r="N31" s="1173">
        <v>131</v>
      </c>
      <c r="O31" s="1173">
        <v>19</v>
      </c>
      <c r="P31" s="1173">
        <v>169</v>
      </c>
      <c r="Q31" s="1173">
        <v>6</v>
      </c>
      <c r="R31" s="1173">
        <v>105</v>
      </c>
      <c r="S31" s="1173">
        <v>11</v>
      </c>
      <c r="T31" s="1171">
        <v>17</v>
      </c>
      <c r="U31" s="1171">
        <v>0</v>
      </c>
      <c r="V31" s="1171">
        <v>0</v>
      </c>
      <c r="W31" s="1171">
        <v>118</v>
      </c>
      <c r="X31" s="1171">
        <v>262</v>
      </c>
      <c r="Y31" s="1171">
        <v>0</v>
      </c>
      <c r="Z31" s="1171">
        <v>2</v>
      </c>
      <c r="AA31" s="1171">
        <v>64</v>
      </c>
      <c r="AB31" s="1171">
        <v>0</v>
      </c>
      <c r="AC31" s="1171">
        <v>0</v>
      </c>
      <c r="AD31" s="1171">
        <v>34</v>
      </c>
      <c r="AE31" s="1171">
        <v>34</v>
      </c>
      <c r="AF31" s="1171">
        <v>3</v>
      </c>
      <c r="AG31" s="1171">
        <v>3</v>
      </c>
      <c r="AH31" s="1171">
        <v>17</v>
      </c>
      <c r="AI31" s="1171">
        <v>47</v>
      </c>
      <c r="AJ31" s="1171">
        <v>14</v>
      </c>
      <c r="AK31" s="1171">
        <v>11</v>
      </c>
      <c r="AL31" s="1171">
        <v>939</v>
      </c>
      <c r="AM31" s="1171">
        <v>867</v>
      </c>
      <c r="AN31" s="1171">
        <v>49</v>
      </c>
      <c r="AO31" s="1171">
        <v>38</v>
      </c>
      <c r="AP31" s="1171">
        <v>239</v>
      </c>
      <c r="AQ31" s="1171">
        <v>0</v>
      </c>
      <c r="AR31" s="1171">
        <v>39</v>
      </c>
      <c r="AS31" s="1171">
        <v>33</v>
      </c>
      <c r="AT31" s="1171">
        <v>100</v>
      </c>
      <c r="AU31" s="1171">
        <v>4</v>
      </c>
      <c r="AV31" s="1171">
        <v>33</v>
      </c>
      <c r="AW31" s="1171">
        <v>39</v>
      </c>
      <c r="AX31" s="1171">
        <v>5</v>
      </c>
      <c r="AY31" s="1171">
        <v>16</v>
      </c>
      <c r="AZ31" s="1171">
        <v>143</v>
      </c>
      <c r="BA31" s="1171">
        <v>58</v>
      </c>
      <c r="BB31" s="1173">
        <v>3867</v>
      </c>
      <c r="BC31" s="1171">
        <v>386</v>
      </c>
      <c r="BD31" s="1171">
        <v>335</v>
      </c>
      <c r="BE31" s="1171">
        <v>265</v>
      </c>
      <c r="BF31" s="1171">
        <v>54</v>
      </c>
      <c r="BG31" s="1171">
        <v>3364</v>
      </c>
      <c r="BH31" s="1171">
        <v>206</v>
      </c>
      <c r="BI31" s="1171">
        <f t="shared" si="2"/>
        <v>2472</v>
      </c>
      <c r="BJ31" s="1171">
        <v>267</v>
      </c>
      <c r="BK31" s="1171">
        <f t="shared" si="3"/>
        <v>3204</v>
      </c>
      <c r="BL31" s="1175">
        <v>20</v>
      </c>
    </row>
    <row r="32" spans="1:64" s="1166" customFormat="1" ht="132" customHeight="1" thickBot="1">
      <c r="A32" s="1204">
        <v>26</v>
      </c>
      <c r="B32" s="1170" t="s">
        <v>1678</v>
      </c>
      <c r="C32" s="1171">
        <v>1453</v>
      </c>
      <c r="D32" s="1192">
        <v>18</v>
      </c>
      <c r="E32" s="1171">
        <v>895</v>
      </c>
      <c r="F32" s="1193">
        <v>541</v>
      </c>
      <c r="G32" s="1173">
        <v>0</v>
      </c>
      <c r="H32" s="1173">
        <v>0</v>
      </c>
      <c r="I32" s="1173">
        <v>0</v>
      </c>
      <c r="J32" s="1173">
        <v>12</v>
      </c>
      <c r="K32" s="1173">
        <v>36</v>
      </c>
      <c r="L32" s="1173">
        <v>0</v>
      </c>
      <c r="M32" s="1173">
        <v>1</v>
      </c>
      <c r="N32" s="1173">
        <v>27</v>
      </c>
      <c r="O32" s="1173">
        <v>8</v>
      </c>
      <c r="P32" s="1173">
        <v>81</v>
      </c>
      <c r="Q32" s="1173">
        <v>0</v>
      </c>
      <c r="R32" s="1173">
        <v>31</v>
      </c>
      <c r="S32" s="1173">
        <v>11</v>
      </c>
      <c r="T32" s="1171">
        <v>4</v>
      </c>
      <c r="U32" s="1171">
        <v>0</v>
      </c>
      <c r="V32" s="1171">
        <v>0</v>
      </c>
      <c r="W32" s="1171">
        <v>4</v>
      </c>
      <c r="X32" s="1171">
        <v>50</v>
      </c>
      <c r="Y32" s="1171">
        <v>0</v>
      </c>
      <c r="Z32" s="1171">
        <v>2</v>
      </c>
      <c r="AA32" s="1171">
        <v>0</v>
      </c>
      <c r="AB32" s="1171">
        <v>0</v>
      </c>
      <c r="AC32" s="1171">
        <v>0</v>
      </c>
      <c r="AD32" s="1171">
        <v>0</v>
      </c>
      <c r="AE32" s="1171">
        <v>0</v>
      </c>
      <c r="AF32" s="1171">
        <v>0</v>
      </c>
      <c r="AG32" s="1171">
        <v>0</v>
      </c>
      <c r="AH32" s="1171">
        <v>0</v>
      </c>
      <c r="AI32" s="1171">
        <v>9</v>
      </c>
      <c r="AJ32" s="1171">
        <v>0</v>
      </c>
      <c r="AK32" s="1171">
        <v>0</v>
      </c>
      <c r="AL32" s="1171">
        <v>208</v>
      </c>
      <c r="AM32" s="1171">
        <v>206</v>
      </c>
      <c r="AN32" s="1171">
        <v>4</v>
      </c>
      <c r="AO32" s="1171">
        <v>22</v>
      </c>
      <c r="AP32" s="1171">
        <v>56</v>
      </c>
      <c r="AQ32" s="1171">
        <v>0</v>
      </c>
      <c r="AR32" s="1171">
        <v>0</v>
      </c>
      <c r="AS32" s="1171">
        <v>2</v>
      </c>
      <c r="AT32" s="1171">
        <v>17</v>
      </c>
      <c r="AU32" s="1171">
        <v>5</v>
      </c>
      <c r="AV32" s="1171">
        <v>6</v>
      </c>
      <c r="AW32" s="1171">
        <v>8</v>
      </c>
      <c r="AX32" s="1171">
        <v>0</v>
      </c>
      <c r="AY32" s="1171">
        <v>0</v>
      </c>
      <c r="AZ32" s="1171">
        <v>32</v>
      </c>
      <c r="BA32" s="1171">
        <v>26</v>
      </c>
      <c r="BB32" s="1173">
        <v>2452</v>
      </c>
      <c r="BC32" s="1171">
        <v>92</v>
      </c>
      <c r="BD32" s="1171">
        <v>60</v>
      </c>
      <c r="BE32" s="1171">
        <v>77</v>
      </c>
      <c r="BF32" s="1171">
        <v>52</v>
      </c>
      <c r="BG32" s="1171">
        <v>2692</v>
      </c>
      <c r="BH32" s="1171">
        <v>86</v>
      </c>
      <c r="BI32" s="1171">
        <f>BH32*12</f>
        <v>1032</v>
      </c>
      <c r="BJ32" s="1171">
        <v>76</v>
      </c>
      <c r="BK32" s="1171">
        <f t="shared" si="3"/>
        <v>912</v>
      </c>
      <c r="BL32" s="1175">
        <v>10</v>
      </c>
    </row>
    <row r="33" spans="1:64" s="1166" customFormat="1" ht="129.94999999999999" customHeight="1" thickBot="1">
      <c r="A33" s="1204">
        <v>27</v>
      </c>
      <c r="B33" s="1182" t="s">
        <v>1679</v>
      </c>
      <c r="C33" s="1171">
        <v>904</v>
      </c>
      <c r="D33" s="1180">
        <v>17.03089675960814</v>
      </c>
      <c r="E33" s="1171">
        <v>483</v>
      </c>
      <c r="F33" s="1193">
        <v>286</v>
      </c>
      <c r="G33" s="1173">
        <v>0</v>
      </c>
      <c r="H33" s="1173">
        <v>0</v>
      </c>
      <c r="I33" s="1173">
        <v>0</v>
      </c>
      <c r="J33" s="1173">
        <v>8</v>
      </c>
      <c r="K33" s="1173">
        <v>11</v>
      </c>
      <c r="L33" s="1173">
        <v>0</v>
      </c>
      <c r="M33" s="1173">
        <v>0</v>
      </c>
      <c r="N33" s="1173">
        <v>30</v>
      </c>
      <c r="O33" s="1173">
        <v>8</v>
      </c>
      <c r="P33" s="1173">
        <v>54</v>
      </c>
      <c r="Q33" s="1173">
        <v>0</v>
      </c>
      <c r="R33" s="1173">
        <v>2</v>
      </c>
      <c r="S33" s="1173">
        <v>4</v>
      </c>
      <c r="T33" s="1171">
        <v>1</v>
      </c>
      <c r="U33" s="1171">
        <v>0</v>
      </c>
      <c r="V33" s="1171">
        <v>0</v>
      </c>
      <c r="W33" s="1171">
        <v>0</v>
      </c>
      <c r="X33" s="1171">
        <v>47</v>
      </c>
      <c r="Y33" s="1171">
        <v>0</v>
      </c>
      <c r="Z33" s="1171">
        <v>5</v>
      </c>
      <c r="AA33" s="1171">
        <v>38</v>
      </c>
      <c r="AB33" s="1171">
        <v>0</v>
      </c>
      <c r="AC33" s="1171">
        <v>2</v>
      </c>
      <c r="AD33" s="1171">
        <v>0</v>
      </c>
      <c r="AE33" s="1171">
        <v>0</v>
      </c>
      <c r="AF33" s="1171">
        <v>0</v>
      </c>
      <c r="AG33" s="1171">
        <v>0</v>
      </c>
      <c r="AH33" s="1171">
        <v>0</v>
      </c>
      <c r="AI33" s="1171">
        <v>2</v>
      </c>
      <c r="AJ33" s="1171">
        <v>0</v>
      </c>
      <c r="AK33" s="1171">
        <v>0</v>
      </c>
      <c r="AL33" s="1171">
        <v>0</v>
      </c>
      <c r="AM33" s="1171">
        <v>0</v>
      </c>
      <c r="AN33" s="1171">
        <v>0</v>
      </c>
      <c r="AO33" s="1171">
        <v>0</v>
      </c>
      <c r="AP33" s="1171">
        <v>0</v>
      </c>
      <c r="AQ33" s="1171">
        <v>0</v>
      </c>
      <c r="AR33" s="1171">
        <v>0</v>
      </c>
      <c r="AS33" s="1171">
        <v>0</v>
      </c>
      <c r="AT33" s="1171">
        <v>0</v>
      </c>
      <c r="AU33" s="1171">
        <v>0</v>
      </c>
      <c r="AV33" s="1171">
        <v>0</v>
      </c>
      <c r="AW33" s="1171">
        <v>0</v>
      </c>
      <c r="AX33" s="1171">
        <v>0</v>
      </c>
      <c r="AY33" s="1171">
        <v>0</v>
      </c>
      <c r="AZ33" s="1171">
        <v>0</v>
      </c>
      <c r="BA33" s="1171">
        <v>0</v>
      </c>
      <c r="BB33" s="1173">
        <v>958</v>
      </c>
      <c r="BC33" s="1171">
        <v>55</v>
      </c>
      <c r="BD33" s="1171">
        <v>0</v>
      </c>
      <c r="BE33" s="1171">
        <v>0</v>
      </c>
      <c r="BF33" s="1171">
        <v>0</v>
      </c>
      <c r="BG33" s="1171">
        <v>854</v>
      </c>
      <c r="BH33" s="1171">
        <v>27</v>
      </c>
      <c r="BI33" s="1181">
        <f t="shared" si="2"/>
        <v>324</v>
      </c>
      <c r="BJ33" s="1171">
        <v>90</v>
      </c>
      <c r="BK33" s="1181">
        <f t="shared" si="3"/>
        <v>1080</v>
      </c>
      <c r="BL33" s="1175">
        <v>5</v>
      </c>
    </row>
    <row r="34" spans="1:64" s="1166" customFormat="1" ht="129.94999999999999" customHeight="1" thickBot="1">
      <c r="A34" s="1204">
        <v>28</v>
      </c>
      <c r="B34" s="1170" t="s">
        <v>1680</v>
      </c>
      <c r="C34" s="1171">
        <v>829</v>
      </c>
      <c r="D34" s="1180">
        <v>10.845107273678702</v>
      </c>
      <c r="E34" s="1171">
        <v>512</v>
      </c>
      <c r="F34" s="1193">
        <v>242</v>
      </c>
      <c r="G34" s="1173">
        <v>0</v>
      </c>
      <c r="H34" s="1173">
        <v>0</v>
      </c>
      <c r="I34" s="1173">
        <v>0</v>
      </c>
      <c r="J34" s="1173">
        <v>2</v>
      </c>
      <c r="K34" s="1173">
        <v>11</v>
      </c>
      <c r="L34" s="1173">
        <v>0</v>
      </c>
      <c r="M34" s="1173">
        <v>0</v>
      </c>
      <c r="N34" s="1173">
        <v>25</v>
      </c>
      <c r="O34" s="1173">
        <v>5</v>
      </c>
      <c r="P34" s="1173">
        <v>47</v>
      </c>
      <c r="Q34" s="1173">
        <v>0</v>
      </c>
      <c r="R34" s="1173">
        <v>9</v>
      </c>
      <c r="S34" s="1173">
        <v>7</v>
      </c>
      <c r="T34" s="1171">
        <v>5</v>
      </c>
      <c r="U34" s="1171">
        <v>0</v>
      </c>
      <c r="V34" s="1171">
        <v>0</v>
      </c>
      <c r="W34" s="1171">
        <v>2</v>
      </c>
      <c r="X34" s="1171">
        <v>1</v>
      </c>
      <c r="Y34" s="1171">
        <v>0</v>
      </c>
      <c r="Z34" s="1171">
        <v>0</v>
      </c>
      <c r="AA34" s="1171">
        <v>5</v>
      </c>
      <c r="AB34" s="1171">
        <v>0</v>
      </c>
      <c r="AC34" s="1171">
        <v>0</v>
      </c>
      <c r="AD34" s="1171">
        <v>29</v>
      </c>
      <c r="AE34" s="1171">
        <v>29</v>
      </c>
      <c r="AF34" s="1171">
        <v>1</v>
      </c>
      <c r="AG34" s="1171">
        <v>0</v>
      </c>
      <c r="AH34" s="1171">
        <v>3</v>
      </c>
      <c r="AI34" s="1171">
        <v>7</v>
      </c>
      <c r="AJ34" s="1171">
        <v>0</v>
      </c>
      <c r="AK34" s="1171">
        <v>0</v>
      </c>
      <c r="AL34" s="1171">
        <v>0</v>
      </c>
      <c r="AM34" s="1171">
        <v>0</v>
      </c>
      <c r="AN34" s="1171">
        <v>0</v>
      </c>
      <c r="AO34" s="1171">
        <v>0</v>
      </c>
      <c r="AP34" s="1171">
        <v>0</v>
      </c>
      <c r="AQ34" s="1171">
        <v>0</v>
      </c>
      <c r="AR34" s="1171">
        <v>0</v>
      </c>
      <c r="AS34" s="1171">
        <v>0</v>
      </c>
      <c r="AT34" s="1171">
        <v>0</v>
      </c>
      <c r="AU34" s="1171">
        <v>0</v>
      </c>
      <c r="AV34" s="1171">
        <v>0</v>
      </c>
      <c r="AW34" s="1171">
        <v>0</v>
      </c>
      <c r="AX34" s="1171">
        <v>0</v>
      </c>
      <c r="AY34" s="1171">
        <v>0</v>
      </c>
      <c r="AZ34" s="1171">
        <v>0</v>
      </c>
      <c r="BA34" s="1171">
        <v>0</v>
      </c>
      <c r="BB34" s="1173">
        <v>529</v>
      </c>
      <c r="BC34" s="1171">
        <v>56</v>
      </c>
      <c r="BD34" s="1171">
        <v>56</v>
      </c>
      <c r="BE34" s="1171">
        <v>3</v>
      </c>
      <c r="BF34" s="1171">
        <v>26</v>
      </c>
      <c r="BG34" s="1171">
        <v>32</v>
      </c>
      <c r="BH34" s="1171">
        <v>7</v>
      </c>
      <c r="BI34" s="1181">
        <f t="shared" si="2"/>
        <v>84</v>
      </c>
      <c r="BJ34" s="1171">
        <v>35</v>
      </c>
      <c r="BK34" s="1181">
        <f t="shared" si="3"/>
        <v>420</v>
      </c>
      <c r="BL34" s="1175">
        <v>4.8</v>
      </c>
    </row>
    <row r="35" spans="1:64" s="1167" customFormat="1" ht="129.94999999999999" customHeight="1" thickBot="1">
      <c r="A35" s="1204">
        <v>29</v>
      </c>
      <c r="B35" s="1170" t="s">
        <v>1681</v>
      </c>
      <c r="C35" s="1171">
        <v>437</v>
      </c>
      <c r="D35" s="1180">
        <v>7.5266965208405106</v>
      </c>
      <c r="E35" s="1171">
        <v>460</v>
      </c>
      <c r="F35" s="1193">
        <v>414</v>
      </c>
      <c r="G35" s="1173">
        <v>0</v>
      </c>
      <c r="H35" s="1173">
        <v>0</v>
      </c>
      <c r="I35" s="1173">
        <v>0</v>
      </c>
      <c r="J35" s="1173">
        <v>6</v>
      </c>
      <c r="K35" s="1173">
        <v>15</v>
      </c>
      <c r="L35" s="1173">
        <v>0</v>
      </c>
      <c r="M35" s="1173">
        <v>0</v>
      </c>
      <c r="N35" s="1173">
        <v>0</v>
      </c>
      <c r="O35" s="1173">
        <v>9</v>
      </c>
      <c r="P35" s="1173">
        <v>31</v>
      </c>
      <c r="Q35" s="1173">
        <v>0</v>
      </c>
      <c r="R35" s="1173">
        <v>2</v>
      </c>
      <c r="S35" s="1173">
        <v>8</v>
      </c>
      <c r="T35" s="1171">
        <v>1</v>
      </c>
      <c r="U35" s="1171">
        <v>0</v>
      </c>
      <c r="V35" s="1171">
        <v>0</v>
      </c>
      <c r="W35" s="1171">
        <v>0</v>
      </c>
      <c r="X35" s="1171">
        <v>64</v>
      </c>
      <c r="Y35" s="1171">
        <v>0</v>
      </c>
      <c r="Z35" s="1171">
        <v>0</v>
      </c>
      <c r="AA35" s="1171">
        <v>17</v>
      </c>
      <c r="AB35" s="1171">
        <v>0</v>
      </c>
      <c r="AC35" s="1171">
        <v>0</v>
      </c>
      <c r="AD35" s="1171">
        <v>0</v>
      </c>
      <c r="AE35" s="1171">
        <v>0</v>
      </c>
      <c r="AF35" s="1171">
        <v>1</v>
      </c>
      <c r="AG35" s="1171">
        <v>0</v>
      </c>
      <c r="AH35" s="1171">
        <v>2</v>
      </c>
      <c r="AI35" s="1171">
        <v>1</v>
      </c>
      <c r="AJ35" s="1171">
        <v>1</v>
      </c>
      <c r="AK35" s="1171">
        <v>0</v>
      </c>
      <c r="AL35" s="1171">
        <v>205</v>
      </c>
      <c r="AM35" s="1171">
        <v>206</v>
      </c>
      <c r="AN35" s="1171">
        <v>0</v>
      </c>
      <c r="AO35" s="1171">
        <v>206</v>
      </c>
      <c r="AP35" s="1171">
        <v>0</v>
      </c>
      <c r="AQ35" s="1171">
        <v>0</v>
      </c>
      <c r="AR35" s="1171">
        <v>0</v>
      </c>
      <c r="AS35" s="1171">
        <v>0</v>
      </c>
      <c r="AT35" s="1171">
        <v>0</v>
      </c>
      <c r="AU35" s="1171">
        <v>0</v>
      </c>
      <c r="AV35" s="1171">
        <v>0</v>
      </c>
      <c r="AW35" s="1171">
        <v>0</v>
      </c>
      <c r="AX35" s="1171">
        <v>0</v>
      </c>
      <c r="AY35" s="1171">
        <v>0</v>
      </c>
      <c r="AZ35" s="1171">
        <v>0</v>
      </c>
      <c r="BA35" s="1171">
        <v>0</v>
      </c>
      <c r="BB35" s="1173">
        <v>447</v>
      </c>
      <c r="BC35" s="1171">
        <v>101</v>
      </c>
      <c r="BD35" s="1171">
        <v>59</v>
      </c>
      <c r="BE35" s="1171">
        <v>45</v>
      </c>
      <c r="BF35" s="1171">
        <v>32</v>
      </c>
      <c r="BG35" s="1171">
        <v>259</v>
      </c>
      <c r="BH35" s="1171">
        <v>128</v>
      </c>
      <c r="BI35" s="1181">
        <f t="shared" si="2"/>
        <v>1536</v>
      </c>
      <c r="BJ35" s="1171">
        <v>99</v>
      </c>
      <c r="BK35" s="1181">
        <f t="shared" si="3"/>
        <v>1188</v>
      </c>
      <c r="BL35" s="1175">
        <v>3</v>
      </c>
    </row>
    <row r="36" spans="1:64" s="1166" customFormat="1" ht="129.94999999999999" customHeight="1" thickBot="1">
      <c r="A36" s="1204">
        <v>30</v>
      </c>
      <c r="B36" s="1170" t="s">
        <v>1682</v>
      </c>
      <c r="C36" s="1171">
        <v>553</v>
      </c>
      <c r="D36" s="1180">
        <v>13.996456593267528</v>
      </c>
      <c r="E36" s="1171">
        <v>248</v>
      </c>
      <c r="F36" s="1193">
        <v>304</v>
      </c>
      <c r="G36" s="1173">
        <v>0</v>
      </c>
      <c r="H36" s="1173">
        <v>0</v>
      </c>
      <c r="I36" s="1173">
        <v>0</v>
      </c>
      <c r="J36" s="1173">
        <v>8</v>
      </c>
      <c r="K36" s="1173">
        <v>8</v>
      </c>
      <c r="L36" s="1173">
        <v>0</v>
      </c>
      <c r="M36" s="1173">
        <v>0</v>
      </c>
      <c r="N36" s="1173">
        <v>1</v>
      </c>
      <c r="O36" s="1173">
        <v>15</v>
      </c>
      <c r="P36" s="1173">
        <v>44</v>
      </c>
      <c r="Q36" s="1173">
        <v>0</v>
      </c>
      <c r="R36" s="1173">
        <v>15</v>
      </c>
      <c r="S36" s="1173">
        <v>2</v>
      </c>
      <c r="T36" s="1171">
        <v>0</v>
      </c>
      <c r="U36" s="1171">
        <v>0</v>
      </c>
      <c r="V36" s="1171">
        <v>0</v>
      </c>
      <c r="W36" s="1171">
        <v>1</v>
      </c>
      <c r="X36" s="1171">
        <v>13</v>
      </c>
      <c r="Y36" s="1171">
        <v>0</v>
      </c>
      <c r="Z36" s="1171">
        <v>1</v>
      </c>
      <c r="AA36" s="1171">
        <v>6</v>
      </c>
      <c r="AB36" s="1171">
        <v>0</v>
      </c>
      <c r="AC36" s="1171">
        <v>1</v>
      </c>
      <c r="AD36" s="1171">
        <v>18</v>
      </c>
      <c r="AE36" s="1171">
        <v>18</v>
      </c>
      <c r="AF36" s="1171">
        <v>1</v>
      </c>
      <c r="AG36" s="1171">
        <v>0</v>
      </c>
      <c r="AH36" s="1171">
        <v>2</v>
      </c>
      <c r="AI36" s="1171">
        <v>1</v>
      </c>
      <c r="AJ36" s="1171">
        <v>0</v>
      </c>
      <c r="AK36" s="1171">
        <v>0</v>
      </c>
      <c r="AL36" s="1171">
        <v>0</v>
      </c>
      <c r="AM36" s="1171">
        <v>0</v>
      </c>
      <c r="AN36" s="1171">
        <v>0</v>
      </c>
      <c r="AO36" s="1171">
        <v>0</v>
      </c>
      <c r="AP36" s="1171">
        <v>0</v>
      </c>
      <c r="AQ36" s="1171">
        <v>0</v>
      </c>
      <c r="AR36" s="1171">
        <v>0</v>
      </c>
      <c r="AS36" s="1171">
        <v>0</v>
      </c>
      <c r="AT36" s="1171">
        <v>0</v>
      </c>
      <c r="AU36" s="1171">
        <v>0</v>
      </c>
      <c r="AV36" s="1171">
        <v>0</v>
      </c>
      <c r="AW36" s="1171">
        <v>0</v>
      </c>
      <c r="AX36" s="1171">
        <v>0</v>
      </c>
      <c r="AY36" s="1171">
        <v>0</v>
      </c>
      <c r="AZ36" s="1171">
        <v>0</v>
      </c>
      <c r="BA36" s="1171">
        <v>0</v>
      </c>
      <c r="BB36" s="1173">
        <v>445</v>
      </c>
      <c r="BC36" s="1171">
        <v>107</v>
      </c>
      <c r="BD36" s="1171">
        <v>143</v>
      </c>
      <c r="BE36" s="1171">
        <v>67</v>
      </c>
      <c r="BF36" s="1171">
        <v>66</v>
      </c>
      <c r="BG36" s="1171">
        <v>246</v>
      </c>
      <c r="BH36" s="1171">
        <v>23</v>
      </c>
      <c r="BI36" s="1181">
        <f t="shared" si="2"/>
        <v>276</v>
      </c>
      <c r="BJ36" s="1171">
        <v>5</v>
      </c>
      <c r="BK36" s="1181">
        <f t="shared" si="3"/>
        <v>60</v>
      </c>
      <c r="BL36" s="1175">
        <v>3</v>
      </c>
    </row>
    <row r="37" spans="1:64" s="1168" customFormat="1" ht="129.94999999999999" customHeight="1" thickBot="1">
      <c r="A37" s="1204">
        <v>31</v>
      </c>
      <c r="B37" s="1182" t="s">
        <v>1683</v>
      </c>
      <c r="C37" s="1171">
        <v>1701</v>
      </c>
      <c r="D37" s="1180">
        <v>19.617114519663247</v>
      </c>
      <c r="E37" s="1171">
        <v>209</v>
      </c>
      <c r="F37" s="1193">
        <v>112</v>
      </c>
      <c r="G37" s="1173">
        <v>20</v>
      </c>
      <c r="H37" s="1173">
        <v>92</v>
      </c>
      <c r="I37" s="1173">
        <v>0</v>
      </c>
      <c r="J37" s="1197"/>
      <c r="K37" s="1197"/>
      <c r="L37" s="1197"/>
      <c r="M37" s="1197"/>
      <c r="N37" s="1197"/>
      <c r="O37" s="1197"/>
      <c r="P37" s="1197"/>
      <c r="Q37" s="1197"/>
      <c r="R37" s="1197"/>
      <c r="S37" s="1197"/>
      <c r="T37" s="1198"/>
      <c r="U37" s="1198"/>
      <c r="V37" s="1198"/>
      <c r="W37" s="1198"/>
      <c r="X37" s="1198"/>
      <c r="Y37" s="1198"/>
      <c r="Z37" s="1198"/>
      <c r="AA37" s="1198"/>
      <c r="AB37" s="1198"/>
      <c r="AC37" s="1198"/>
      <c r="AD37" s="1198"/>
      <c r="AE37" s="1198"/>
      <c r="AF37" s="1198"/>
      <c r="AG37" s="1198"/>
      <c r="AH37" s="1198"/>
      <c r="AI37" s="1198"/>
      <c r="AJ37" s="1198"/>
      <c r="AK37" s="1198"/>
      <c r="AL37" s="1171">
        <v>144</v>
      </c>
      <c r="AM37" s="1171">
        <v>70</v>
      </c>
      <c r="AN37" s="1171">
        <v>0</v>
      </c>
      <c r="AO37" s="1171">
        <v>0</v>
      </c>
      <c r="AP37" s="1171">
        <v>0</v>
      </c>
      <c r="AQ37" s="1171">
        <v>0</v>
      </c>
      <c r="AR37" s="1171">
        <v>0</v>
      </c>
      <c r="AS37" s="1171">
        <v>0</v>
      </c>
      <c r="AT37" s="1171">
        <v>70</v>
      </c>
      <c r="AU37" s="1198"/>
      <c r="AV37" s="1198"/>
      <c r="AW37" s="1198"/>
      <c r="AX37" s="1198"/>
      <c r="AY37" s="1198"/>
      <c r="AZ37" s="1198"/>
      <c r="BA37" s="1198"/>
      <c r="BB37" s="1173">
        <v>387</v>
      </c>
      <c r="BC37" s="1171">
        <v>42</v>
      </c>
      <c r="BD37" s="1171">
        <v>82</v>
      </c>
      <c r="BE37" s="1171">
        <v>6</v>
      </c>
      <c r="BF37" s="1171">
        <v>2</v>
      </c>
      <c r="BG37" s="1171">
        <v>487</v>
      </c>
      <c r="BH37" s="1171">
        <v>64</v>
      </c>
      <c r="BI37" s="1181">
        <f t="shared" si="2"/>
        <v>768</v>
      </c>
      <c r="BJ37" s="1171">
        <v>56</v>
      </c>
      <c r="BK37" s="1181">
        <f t="shared" si="3"/>
        <v>672</v>
      </c>
      <c r="BL37" s="1175">
        <v>9.3000000000000007</v>
      </c>
    </row>
    <row r="38" spans="1:64" s="1166" customFormat="1" ht="132" customHeight="1" thickBot="1">
      <c r="A38" s="1204">
        <v>32</v>
      </c>
      <c r="B38" s="1199" t="s">
        <v>1684</v>
      </c>
      <c r="C38" s="1171">
        <v>2570</v>
      </c>
      <c r="D38" s="1192">
        <v>12.7</v>
      </c>
      <c r="E38" s="1171">
        <v>1823</v>
      </c>
      <c r="F38" s="1193">
        <v>2124</v>
      </c>
      <c r="G38" s="1173">
        <v>0</v>
      </c>
      <c r="H38" s="1173">
        <v>30</v>
      </c>
      <c r="I38" s="1173">
        <v>0</v>
      </c>
      <c r="J38" s="1173">
        <v>15</v>
      </c>
      <c r="K38" s="1173">
        <v>80</v>
      </c>
      <c r="L38" s="1173">
        <v>0</v>
      </c>
      <c r="M38" s="1173">
        <v>22</v>
      </c>
      <c r="N38" s="1173">
        <v>85</v>
      </c>
      <c r="O38" s="1173">
        <v>19</v>
      </c>
      <c r="P38" s="1173">
        <v>190</v>
      </c>
      <c r="Q38" s="1173">
        <v>41</v>
      </c>
      <c r="R38" s="1173">
        <v>115</v>
      </c>
      <c r="S38" s="1173">
        <v>23</v>
      </c>
      <c r="T38" s="1171">
        <v>20</v>
      </c>
      <c r="U38" s="1171">
        <v>0</v>
      </c>
      <c r="V38" s="1171">
        <v>0</v>
      </c>
      <c r="W38" s="1171">
        <v>59</v>
      </c>
      <c r="X38" s="1171">
        <v>169</v>
      </c>
      <c r="Y38" s="1171">
        <v>0</v>
      </c>
      <c r="Z38" s="1171">
        <v>4</v>
      </c>
      <c r="AA38" s="1171">
        <v>23</v>
      </c>
      <c r="AB38" s="1171">
        <v>3</v>
      </c>
      <c r="AC38" s="1171">
        <v>1</v>
      </c>
      <c r="AD38" s="1171">
        <v>92</v>
      </c>
      <c r="AE38" s="1171">
        <v>92</v>
      </c>
      <c r="AF38" s="1171">
        <v>3</v>
      </c>
      <c r="AG38" s="1171">
        <v>1</v>
      </c>
      <c r="AH38" s="1171">
        <v>0</v>
      </c>
      <c r="AI38" s="1171">
        <v>22</v>
      </c>
      <c r="AJ38" s="1171">
        <v>4</v>
      </c>
      <c r="AK38" s="1171">
        <v>0</v>
      </c>
      <c r="AL38" s="1171">
        <v>338</v>
      </c>
      <c r="AM38" s="1171">
        <v>333</v>
      </c>
      <c r="AN38" s="1171">
        <v>3</v>
      </c>
      <c r="AO38" s="1171">
        <v>5</v>
      </c>
      <c r="AP38" s="1171">
        <v>94</v>
      </c>
      <c r="AQ38" s="1171">
        <v>0</v>
      </c>
      <c r="AR38" s="1171">
        <v>5</v>
      </c>
      <c r="AS38" s="1171">
        <v>6</v>
      </c>
      <c r="AT38" s="1171">
        <v>44</v>
      </c>
      <c r="AU38" s="1171">
        <v>6</v>
      </c>
      <c r="AV38" s="1171">
        <v>1</v>
      </c>
      <c r="AW38" s="1171">
        <v>19</v>
      </c>
      <c r="AX38" s="1171">
        <v>0</v>
      </c>
      <c r="AY38" s="1171">
        <v>2</v>
      </c>
      <c r="AZ38" s="1171">
        <v>97</v>
      </c>
      <c r="BA38" s="1171">
        <v>48</v>
      </c>
      <c r="BB38" s="1173">
        <v>3552</v>
      </c>
      <c r="BC38" s="1171">
        <v>2290</v>
      </c>
      <c r="BD38" s="1171">
        <v>1221</v>
      </c>
      <c r="BE38" s="1171">
        <v>1069</v>
      </c>
      <c r="BF38" s="1171">
        <v>66</v>
      </c>
      <c r="BG38" s="1171">
        <v>3823</v>
      </c>
      <c r="BH38" s="1171">
        <v>315</v>
      </c>
      <c r="BI38" s="1174">
        <f t="shared" si="2"/>
        <v>3780</v>
      </c>
      <c r="BJ38" s="1171">
        <v>541</v>
      </c>
      <c r="BK38" s="1171">
        <f t="shared" si="3"/>
        <v>6492</v>
      </c>
      <c r="BL38" s="1175">
        <v>26</v>
      </c>
    </row>
    <row r="39" spans="1:64" s="1166" customFormat="1" ht="132" customHeight="1" thickBot="1">
      <c r="A39" s="1204">
        <v>33</v>
      </c>
      <c r="B39" s="1199" t="s">
        <v>1685</v>
      </c>
      <c r="C39" s="1171">
        <v>3398</v>
      </c>
      <c r="D39" s="1192">
        <v>27.4</v>
      </c>
      <c r="E39" s="1171">
        <v>1644</v>
      </c>
      <c r="F39" s="1193">
        <v>1300</v>
      </c>
      <c r="G39" s="1173">
        <v>4</v>
      </c>
      <c r="H39" s="1173">
        <v>80</v>
      </c>
      <c r="I39" s="1173">
        <v>76</v>
      </c>
      <c r="J39" s="1173">
        <v>1</v>
      </c>
      <c r="K39" s="1173">
        <v>75</v>
      </c>
      <c r="L39" s="1173">
        <v>30</v>
      </c>
      <c r="M39" s="1173">
        <v>2</v>
      </c>
      <c r="N39" s="1173">
        <v>69</v>
      </c>
      <c r="O39" s="1173">
        <v>21</v>
      </c>
      <c r="P39" s="1173">
        <v>112</v>
      </c>
      <c r="Q39" s="1173">
        <v>40</v>
      </c>
      <c r="R39" s="1173">
        <v>29</v>
      </c>
      <c r="S39" s="1173">
        <v>8</v>
      </c>
      <c r="T39" s="1171">
        <v>25</v>
      </c>
      <c r="U39" s="1171">
        <v>0</v>
      </c>
      <c r="V39" s="1171">
        <v>0</v>
      </c>
      <c r="W39" s="1171">
        <v>8</v>
      </c>
      <c r="X39" s="1171">
        <v>140</v>
      </c>
      <c r="Y39" s="1171">
        <v>0</v>
      </c>
      <c r="Z39" s="1171">
        <v>2</v>
      </c>
      <c r="AA39" s="1171">
        <v>0</v>
      </c>
      <c r="AB39" s="1171">
        <v>0</v>
      </c>
      <c r="AC39" s="1171">
        <v>0</v>
      </c>
      <c r="AD39" s="1171">
        <v>59</v>
      </c>
      <c r="AE39" s="1171">
        <v>59</v>
      </c>
      <c r="AF39" s="1171">
        <v>2</v>
      </c>
      <c r="AG39" s="1171">
        <v>0</v>
      </c>
      <c r="AH39" s="1171">
        <v>0</v>
      </c>
      <c r="AI39" s="1171">
        <v>8</v>
      </c>
      <c r="AJ39" s="1171">
        <v>0</v>
      </c>
      <c r="AK39" s="1171">
        <v>0</v>
      </c>
      <c r="AL39" s="1171">
        <v>583</v>
      </c>
      <c r="AM39" s="1171">
        <v>564</v>
      </c>
      <c r="AN39" s="1171">
        <v>37</v>
      </c>
      <c r="AO39" s="1171">
        <v>43</v>
      </c>
      <c r="AP39" s="1171">
        <v>148</v>
      </c>
      <c r="AQ39" s="1171">
        <v>0</v>
      </c>
      <c r="AR39" s="1171">
        <v>0</v>
      </c>
      <c r="AS39" s="1171">
        <v>0</v>
      </c>
      <c r="AT39" s="1171">
        <v>147</v>
      </c>
      <c r="AU39" s="1171">
        <v>19</v>
      </c>
      <c r="AV39" s="1171">
        <v>9</v>
      </c>
      <c r="AW39" s="1171">
        <v>34</v>
      </c>
      <c r="AX39" s="1171">
        <v>4</v>
      </c>
      <c r="AY39" s="1171">
        <v>12</v>
      </c>
      <c r="AZ39" s="1171">
        <v>126</v>
      </c>
      <c r="BA39" s="1171">
        <v>68</v>
      </c>
      <c r="BB39" s="1173">
        <v>2358</v>
      </c>
      <c r="BC39" s="1171">
        <v>514</v>
      </c>
      <c r="BD39" s="1171">
        <v>311</v>
      </c>
      <c r="BE39" s="1171">
        <v>514</v>
      </c>
      <c r="BF39" s="1171">
        <v>365</v>
      </c>
      <c r="BG39" s="1171">
        <v>2757</v>
      </c>
      <c r="BH39" s="1171">
        <v>168</v>
      </c>
      <c r="BI39" s="1174">
        <f t="shared" si="2"/>
        <v>2016</v>
      </c>
      <c r="BJ39" s="1171">
        <v>388</v>
      </c>
      <c r="BK39" s="1171">
        <f t="shared" si="3"/>
        <v>4656</v>
      </c>
      <c r="BL39" s="1175">
        <v>24</v>
      </c>
    </row>
    <row r="40" spans="1:64" s="1166" customFormat="1" ht="129.94999999999999" customHeight="1" thickBot="1">
      <c r="A40" s="1204">
        <v>34</v>
      </c>
      <c r="B40" s="1199" t="s">
        <v>1686</v>
      </c>
      <c r="C40" s="1171">
        <v>2346</v>
      </c>
      <c r="D40" s="1180">
        <v>1.4208193027931879</v>
      </c>
      <c r="E40" s="1171">
        <v>1192</v>
      </c>
      <c r="F40" s="1193">
        <v>896</v>
      </c>
      <c r="G40" s="1173">
        <v>0</v>
      </c>
      <c r="H40" s="1173">
        <v>71</v>
      </c>
      <c r="I40" s="1173">
        <v>32</v>
      </c>
      <c r="J40" s="1173">
        <v>0</v>
      </c>
      <c r="K40" s="1173">
        <v>61</v>
      </c>
      <c r="L40" s="1173">
        <v>45</v>
      </c>
      <c r="M40" s="1173">
        <v>21</v>
      </c>
      <c r="N40" s="1173">
        <v>59</v>
      </c>
      <c r="O40" s="1173">
        <v>7</v>
      </c>
      <c r="P40" s="1173">
        <v>133</v>
      </c>
      <c r="Q40" s="1173">
        <v>73</v>
      </c>
      <c r="R40" s="1173">
        <v>60</v>
      </c>
      <c r="S40" s="1173">
        <v>6</v>
      </c>
      <c r="T40" s="1171">
        <v>12</v>
      </c>
      <c r="U40" s="1171">
        <v>0</v>
      </c>
      <c r="V40" s="1171">
        <v>0</v>
      </c>
      <c r="W40" s="1171">
        <v>20</v>
      </c>
      <c r="X40" s="1171">
        <v>150</v>
      </c>
      <c r="Y40" s="1171">
        <v>0</v>
      </c>
      <c r="Z40" s="1171">
        <v>5</v>
      </c>
      <c r="AA40" s="1171">
        <v>11</v>
      </c>
      <c r="AB40" s="1171">
        <v>4</v>
      </c>
      <c r="AC40" s="1171">
        <v>0</v>
      </c>
      <c r="AD40" s="1171">
        <v>0</v>
      </c>
      <c r="AE40" s="1171">
        <v>45</v>
      </c>
      <c r="AF40" s="1171">
        <v>5</v>
      </c>
      <c r="AG40" s="1171">
        <v>0</v>
      </c>
      <c r="AH40" s="1171">
        <v>2</v>
      </c>
      <c r="AI40" s="1171">
        <v>21</v>
      </c>
      <c r="AJ40" s="1171">
        <v>2</v>
      </c>
      <c r="AK40" s="1171">
        <v>0</v>
      </c>
      <c r="AL40" s="1171">
        <v>259</v>
      </c>
      <c r="AM40" s="1171">
        <v>259</v>
      </c>
      <c r="AN40" s="1171">
        <v>11</v>
      </c>
      <c r="AO40" s="1171">
        <v>7</v>
      </c>
      <c r="AP40" s="1171">
        <v>5</v>
      </c>
      <c r="AQ40" s="1171">
        <v>0</v>
      </c>
      <c r="AR40" s="1171">
        <v>0</v>
      </c>
      <c r="AS40" s="1171">
        <v>0</v>
      </c>
      <c r="AT40" s="1171">
        <v>52</v>
      </c>
      <c r="AU40" s="1171">
        <v>3</v>
      </c>
      <c r="AV40" s="1171">
        <v>1</v>
      </c>
      <c r="AW40" s="1171">
        <v>13</v>
      </c>
      <c r="AX40" s="1171">
        <v>2</v>
      </c>
      <c r="AY40" s="1171">
        <v>5</v>
      </c>
      <c r="AZ40" s="1171">
        <v>93</v>
      </c>
      <c r="BA40" s="1171">
        <v>12</v>
      </c>
      <c r="BB40" s="1173">
        <v>628</v>
      </c>
      <c r="BC40" s="1171">
        <v>79</v>
      </c>
      <c r="BD40" s="1171">
        <v>56</v>
      </c>
      <c r="BE40" s="1171">
        <v>6</v>
      </c>
      <c r="BF40" s="1171">
        <v>44</v>
      </c>
      <c r="BG40" s="1171">
        <v>346</v>
      </c>
      <c r="BH40" s="1171">
        <v>88</v>
      </c>
      <c r="BI40" s="1181">
        <f t="shared" si="2"/>
        <v>1056</v>
      </c>
      <c r="BJ40" s="1171">
        <v>88</v>
      </c>
      <c r="BK40" s="1181">
        <f t="shared" si="3"/>
        <v>1056</v>
      </c>
      <c r="BL40" s="1175">
        <v>16</v>
      </c>
    </row>
    <row r="41" spans="1:64" s="1166" customFormat="1" ht="129.94999999999999" customHeight="1" thickBot="1">
      <c r="A41" s="1204">
        <v>35</v>
      </c>
      <c r="B41" s="1200" t="s">
        <v>1687</v>
      </c>
      <c r="C41" s="1171">
        <v>1283</v>
      </c>
      <c r="D41" s="1180">
        <v>14.435193519351936</v>
      </c>
      <c r="E41" s="1171">
        <v>852</v>
      </c>
      <c r="F41" s="1193">
        <v>373</v>
      </c>
      <c r="G41" s="1173">
        <v>0</v>
      </c>
      <c r="H41" s="1173">
        <v>21</v>
      </c>
      <c r="I41" s="1173">
        <v>0</v>
      </c>
      <c r="J41" s="1173">
        <v>15</v>
      </c>
      <c r="K41" s="1173">
        <v>10</v>
      </c>
      <c r="L41" s="1173">
        <v>0</v>
      </c>
      <c r="M41" s="1173">
        <v>1</v>
      </c>
      <c r="N41" s="1173">
        <v>39</v>
      </c>
      <c r="O41" s="1173">
        <v>10</v>
      </c>
      <c r="P41" s="1173">
        <v>64</v>
      </c>
      <c r="Q41" s="1173">
        <v>0</v>
      </c>
      <c r="R41" s="1173">
        <v>54</v>
      </c>
      <c r="S41" s="1173">
        <v>0</v>
      </c>
      <c r="T41" s="1171">
        <v>0</v>
      </c>
      <c r="U41" s="1171">
        <v>0</v>
      </c>
      <c r="V41" s="1171">
        <v>0</v>
      </c>
      <c r="W41" s="1171">
        <v>3</v>
      </c>
      <c r="X41" s="1171">
        <v>61</v>
      </c>
      <c r="Y41" s="1171">
        <v>0</v>
      </c>
      <c r="Z41" s="1171">
        <v>2</v>
      </c>
      <c r="AA41" s="1171">
        <v>1</v>
      </c>
      <c r="AB41" s="1171">
        <v>0</v>
      </c>
      <c r="AC41" s="1171">
        <v>6</v>
      </c>
      <c r="AD41" s="1171">
        <v>0</v>
      </c>
      <c r="AE41" s="1171">
        <v>0</v>
      </c>
      <c r="AF41" s="1171">
        <v>0</v>
      </c>
      <c r="AG41" s="1171">
        <v>0</v>
      </c>
      <c r="AH41" s="1171">
        <v>0</v>
      </c>
      <c r="AI41" s="1171">
        <v>0</v>
      </c>
      <c r="AJ41" s="1171">
        <v>0</v>
      </c>
      <c r="AK41" s="1171">
        <v>0</v>
      </c>
      <c r="AL41" s="1171">
        <v>0</v>
      </c>
      <c r="AM41" s="1171">
        <v>0</v>
      </c>
      <c r="AN41" s="1171">
        <v>0</v>
      </c>
      <c r="AO41" s="1171">
        <v>0</v>
      </c>
      <c r="AP41" s="1171">
        <v>0</v>
      </c>
      <c r="AQ41" s="1171">
        <v>0</v>
      </c>
      <c r="AR41" s="1171">
        <v>0</v>
      </c>
      <c r="AS41" s="1171">
        <v>0</v>
      </c>
      <c r="AT41" s="1171">
        <v>0</v>
      </c>
      <c r="AU41" s="1171">
        <v>0</v>
      </c>
      <c r="AV41" s="1171">
        <v>0</v>
      </c>
      <c r="AW41" s="1171">
        <v>0</v>
      </c>
      <c r="AX41" s="1171">
        <v>0</v>
      </c>
      <c r="AY41" s="1171">
        <v>0</v>
      </c>
      <c r="AZ41" s="1171">
        <v>0</v>
      </c>
      <c r="BA41" s="1171">
        <v>0</v>
      </c>
      <c r="BB41" s="1173">
        <v>413</v>
      </c>
      <c r="BC41" s="1171">
        <v>39</v>
      </c>
      <c r="BD41" s="1171">
        <v>39</v>
      </c>
      <c r="BE41" s="1171">
        <v>1</v>
      </c>
      <c r="BF41" s="1171">
        <v>0</v>
      </c>
      <c r="BG41" s="1171">
        <v>492</v>
      </c>
      <c r="BH41" s="1171">
        <v>81</v>
      </c>
      <c r="BI41" s="1181">
        <f t="shared" si="2"/>
        <v>972</v>
      </c>
      <c r="BJ41" s="1171">
        <v>145</v>
      </c>
      <c r="BK41" s="1181">
        <f t="shared" si="3"/>
        <v>1740</v>
      </c>
      <c r="BL41" s="1175">
        <v>7</v>
      </c>
    </row>
    <row r="42" spans="1:64" s="1166" customFormat="1" ht="129.94999999999999" customHeight="1" thickBot="1">
      <c r="A42" s="1204">
        <v>36</v>
      </c>
      <c r="B42" s="1200" t="s">
        <v>1688</v>
      </c>
      <c r="C42" s="1171">
        <v>1736</v>
      </c>
      <c r="D42" s="1180">
        <v>39.200000000000003</v>
      </c>
      <c r="E42" s="1171">
        <v>389</v>
      </c>
      <c r="F42" s="1193">
        <v>134</v>
      </c>
      <c r="G42" s="1173">
        <v>28</v>
      </c>
      <c r="H42" s="1173">
        <v>106</v>
      </c>
      <c r="I42" s="1173">
        <v>0</v>
      </c>
      <c r="J42" s="1197"/>
      <c r="K42" s="1197"/>
      <c r="L42" s="1197"/>
      <c r="M42" s="1197"/>
      <c r="N42" s="1197"/>
      <c r="O42" s="1197"/>
      <c r="P42" s="1197"/>
      <c r="Q42" s="1197"/>
      <c r="R42" s="1197"/>
      <c r="S42" s="1197"/>
      <c r="T42" s="1198"/>
      <c r="U42" s="1198"/>
      <c r="V42" s="1198"/>
      <c r="W42" s="1198"/>
      <c r="X42" s="1198"/>
      <c r="Y42" s="1198"/>
      <c r="Z42" s="1198"/>
      <c r="AA42" s="1198"/>
      <c r="AB42" s="1198"/>
      <c r="AC42" s="1198"/>
      <c r="AD42" s="1198"/>
      <c r="AE42" s="1198"/>
      <c r="AF42" s="1198"/>
      <c r="AG42" s="1198"/>
      <c r="AH42" s="1198"/>
      <c r="AI42" s="1198"/>
      <c r="AJ42" s="1198"/>
      <c r="AK42" s="1198"/>
      <c r="AL42" s="1171">
        <v>132</v>
      </c>
      <c r="AM42" s="1171">
        <v>99</v>
      </c>
      <c r="AN42" s="1171">
        <v>0</v>
      </c>
      <c r="AO42" s="1171">
        <v>27</v>
      </c>
      <c r="AP42" s="1171">
        <v>0</v>
      </c>
      <c r="AQ42" s="1171">
        <v>0</v>
      </c>
      <c r="AR42" s="1171">
        <v>0</v>
      </c>
      <c r="AS42" s="1171">
        <v>0</v>
      </c>
      <c r="AT42" s="1171">
        <v>126</v>
      </c>
      <c r="AU42" s="1198"/>
      <c r="AV42" s="1198"/>
      <c r="AW42" s="1198"/>
      <c r="AX42" s="1198"/>
      <c r="AY42" s="1198"/>
      <c r="AZ42" s="1198"/>
      <c r="BA42" s="1198"/>
      <c r="BB42" s="1173">
        <v>1142</v>
      </c>
      <c r="BC42" s="1171">
        <v>285</v>
      </c>
      <c r="BD42" s="1171">
        <v>215</v>
      </c>
      <c r="BE42" s="1171">
        <v>149</v>
      </c>
      <c r="BF42" s="1171">
        <v>31</v>
      </c>
      <c r="BG42" s="1171">
        <v>638</v>
      </c>
      <c r="BH42" s="1171">
        <v>90</v>
      </c>
      <c r="BI42" s="1181">
        <f t="shared" si="2"/>
        <v>1080</v>
      </c>
      <c r="BJ42" s="1171">
        <v>10</v>
      </c>
      <c r="BK42" s="1181">
        <f t="shared" si="3"/>
        <v>120</v>
      </c>
      <c r="BL42" s="1175">
        <v>15.5</v>
      </c>
    </row>
    <row r="43" spans="1:64" s="1166" customFormat="1" ht="132" customHeight="1" thickBot="1">
      <c r="A43" s="1204">
        <v>37</v>
      </c>
      <c r="B43" s="1170" t="s">
        <v>1689</v>
      </c>
      <c r="C43" s="1171">
        <v>1927</v>
      </c>
      <c r="D43" s="1192">
        <v>23.9</v>
      </c>
      <c r="E43" s="1171">
        <v>1072</v>
      </c>
      <c r="F43" s="1193">
        <v>641</v>
      </c>
      <c r="G43" s="1173">
        <v>1</v>
      </c>
      <c r="H43" s="1173">
        <v>36</v>
      </c>
      <c r="I43" s="1173">
        <v>0</v>
      </c>
      <c r="J43" s="1173">
        <v>1</v>
      </c>
      <c r="K43" s="1173">
        <v>22</v>
      </c>
      <c r="L43" s="1173">
        <v>0</v>
      </c>
      <c r="M43" s="1173">
        <v>0</v>
      </c>
      <c r="N43" s="1173">
        <v>31</v>
      </c>
      <c r="O43" s="1173">
        <v>15</v>
      </c>
      <c r="P43" s="1173">
        <v>49</v>
      </c>
      <c r="Q43" s="1173">
        <v>1</v>
      </c>
      <c r="R43" s="1173">
        <v>27</v>
      </c>
      <c r="S43" s="1173">
        <v>6</v>
      </c>
      <c r="T43" s="1171">
        <v>6</v>
      </c>
      <c r="U43" s="1171">
        <v>0</v>
      </c>
      <c r="V43" s="1171">
        <v>0</v>
      </c>
      <c r="W43" s="1171">
        <v>16</v>
      </c>
      <c r="X43" s="1171">
        <v>122</v>
      </c>
      <c r="Y43" s="1171">
        <v>0</v>
      </c>
      <c r="Z43" s="1171">
        <v>1</v>
      </c>
      <c r="AA43" s="1171">
        <v>4</v>
      </c>
      <c r="AB43" s="1171">
        <v>0</v>
      </c>
      <c r="AC43" s="1171">
        <v>0</v>
      </c>
      <c r="AD43" s="1171">
        <v>5</v>
      </c>
      <c r="AE43" s="1171">
        <v>5</v>
      </c>
      <c r="AF43" s="1171">
        <v>2</v>
      </c>
      <c r="AG43" s="1171">
        <v>0</v>
      </c>
      <c r="AH43" s="1171">
        <v>1</v>
      </c>
      <c r="AI43" s="1171">
        <v>8</v>
      </c>
      <c r="AJ43" s="1171">
        <v>2</v>
      </c>
      <c r="AK43" s="1171">
        <v>0</v>
      </c>
      <c r="AL43" s="1171">
        <v>301</v>
      </c>
      <c r="AM43" s="1171">
        <v>301</v>
      </c>
      <c r="AN43" s="1171">
        <v>22</v>
      </c>
      <c r="AO43" s="1171">
        <v>27</v>
      </c>
      <c r="AP43" s="1171">
        <v>61</v>
      </c>
      <c r="AQ43" s="1171">
        <v>0</v>
      </c>
      <c r="AR43" s="1171">
        <v>0</v>
      </c>
      <c r="AS43" s="1171">
        <v>0</v>
      </c>
      <c r="AT43" s="1171">
        <v>85</v>
      </c>
      <c r="AU43" s="1171">
        <v>2</v>
      </c>
      <c r="AV43" s="1171">
        <v>5</v>
      </c>
      <c r="AW43" s="1171">
        <v>16</v>
      </c>
      <c r="AX43" s="1171">
        <v>0</v>
      </c>
      <c r="AY43" s="1171">
        <v>4</v>
      </c>
      <c r="AZ43" s="1171">
        <v>59</v>
      </c>
      <c r="BA43" s="1171">
        <v>16</v>
      </c>
      <c r="BB43" s="1173">
        <v>1038</v>
      </c>
      <c r="BC43" s="1171">
        <v>112</v>
      </c>
      <c r="BD43" s="1171">
        <v>102</v>
      </c>
      <c r="BE43" s="1171">
        <v>53</v>
      </c>
      <c r="BF43" s="1171">
        <v>63</v>
      </c>
      <c r="BG43" s="1171">
        <v>3089</v>
      </c>
      <c r="BH43" s="1171">
        <v>179</v>
      </c>
      <c r="BI43" s="1174">
        <f t="shared" si="2"/>
        <v>2148</v>
      </c>
      <c r="BJ43" s="1171">
        <v>106</v>
      </c>
      <c r="BK43" s="1171">
        <f t="shared" si="3"/>
        <v>1272</v>
      </c>
      <c r="BL43" s="1175">
        <v>13</v>
      </c>
    </row>
    <row r="44" spans="1:64" s="1166" customFormat="1" ht="132" customHeight="1" thickBot="1">
      <c r="A44" s="1204">
        <v>38</v>
      </c>
      <c r="B44" s="1170" t="s">
        <v>1690</v>
      </c>
      <c r="C44" s="1171">
        <v>1738</v>
      </c>
      <c r="D44" s="1192">
        <v>24.4</v>
      </c>
      <c r="E44" s="1171">
        <v>1215</v>
      </c>
      <c r="F44" s="1174">
        <v>852</v>
      </c>
      <c r="G44" s="1174">
        <v>22</v>
      </c>
      <c r="H44" s="1173">
        <v>119</v>
      </c>
      <c r="I44" s="1173">
        <v>40</v>
      </c>
      <c r="J44" s="1173">
        <v>10</v>
      </c>
      <c r="K44" s="1173">
        <v>34</v>
      </c>
      <c r="L44" s="1173">
        <v>31</v>
      </c>
      <c r="M44" s="1173">
        <v>1</v>
      </c>
      <c r="N44" s="1173">
        <v>42</v>
      </c>
      <c r="O44" s="1173">
        <v>10</v>
      </c>
      <c r="P44" s="1173">
        <v>66</v>
      </c>
      <c r="Q44" s="1173">
        <v>5</v>
      </c>
      <c r="R44" s="1173">
        <v>70</v>
      </c>
      <c r="S44" s="1173">
        <v>7</v>
      </c>
      <c r="T44" s="1171">
        <v>1</v>
      </c>
      <c r="U44" s="1171">
        <v>0</v>
      </c>
      <c r="V44" s="1171">
        <v>0</v>
      </c>
      <c r="W44" s="1171">
        <v>29</v>
      </c>
      <c r="X44" s="1171">
        <v>75</v>
      </c>
      <c r="Y44" s="1171">
        <v>0</v>
      </c>
      <c r="Z44" s="1171">
        <v>1</v>
      </c>
      <c r="AA44" s="1171">
        <v>1</v>
      </c>
      <c r="AB44" s="1171">
        <v>0</v>
      </c>
      <c r="AC44" s="1171">
        <v>0</v>
      </c>
      <c r="AD44" s="1171">
        <v>50</v>
      </c>
      <c r="AE44" s="1171">
        <v>50</v>
      </c>
      <c r="AF44" s="1171">
        <v>0</v>
      </c>
      <c r="AG44" s="1171">
        <v>0</v>
      </c>
      <c r="AH44" s="1171">
        <v>0</v>
      </c>
      <c r="AI44" s="1171">
        <v>2</v>
      </c>
      <c r="AJ44" s="1171">
        <v>0</v>
      </c>
      <c r="AK44" s="1171">
        <v>0</v>
      </c>
      <c r="AL44" s="1171">
        <v>297</v>
      </c>
      <c r="AM44" s="1171">
        <v>297</v>
      </c>
      <c r="AN44" s="1171">
        <v>14</v>
      </c>
      <c r="AO44" s="1171">
        <v>10</v>
      </c>
      <c r="AP44" s="1171">
        <v>97</v>
      </c>
      <c r="AQ44" s="1171">
        <v>0</v>
      </c>
      <c r="AR44" s="1171">
        <v>0</v>
      </c>
      <c r="AS44" s="1171">
        <v>0</v>
      </c>
      <c r="AT44" s="1171">
        <v>109</v>
      </c>
      <c r="AU44" s="1171">
        <v>11</v>
      </c>
      <c r="AV44" s="1171">
        <v>5</v>
      </c>
      <c r="AW44" s="1171">
        <v>15</v>
      </c>
      <c r="AX44" s="1171">
        <v>1</v>
      </c>
      <c r="AY44" s="1171">
        <v>4</v>
      </c>
      <c r="AZ44" s="1171">
        <v>69</v>
      </c>
      <c r="BA44" s="1171">
        <v>37</v>
      </c>
      <c r="BB44" s="1171">
        <v>1525</v>
      </c>
      <c r="BC44" s="1171">
        <v>286</v>
      </c>
      <c r="BD44" s="1171">
        <v>162</v>
      </c>
      <c r="BE44" s="1171">
        <v>119</v>
      </c>
      <c r="BF44" s="1171">
        <v>90</v>
      </c>
      <c r="BG44" s="1171">
        <v>2092</v>
      </c>
      <c r="BH44" s="1171">
        <v>237</v>
      </c>
      <c r="BI44" s="1174">
        <f t="shared" si="2"/>
        <v>2844</v>
      </c>
      <c r="BJ44" s="1171">
        <v>154</v>
      </c>
      <c r="BK44" s="1171">
        <f t="shared" si="3"/>
        <v>1848</v>
      </c>
      <c r="BL44" s="1175">
        <v>18.600000000000001</v>
      </c>
    </row>
    <row r="45" spans="1:64" s="1166" customFormat="1" ht="129.94999999999999" customHeight="1" thickBot="1">
      <c r="A45" s="1204">
        <v>39</v>
      </c>
      <c r="B45" s="1170" t="s">
        <v>1691</v>
      </c>
      <c r="C45" s="1171">
        <v>1954</v>
      </c>
      <c r="D45" s="1180">
        <v>21.720764784348599</v>
      </c>
      <c r="E45" s="1171">
        <v>908</v>
      </c>
      <c r="F45" s="1193">
        <v>460</v>
      </c>
      <c r="G45" s="1173">
        <v>1</v>
      </c>
      <c r="H45" s="1173">
        <v>6</v>
      </c>
      <c r="I45" s="1173">
        <v>0</v>
      </c>
      <c r="J45" s="1173">
        <v>4</v>
      </c>
      <c r="K45" s="1173">
        <v>50</v>
      </c>
      <c r="L45" s="1173">
        <v>27</v>
      </c>
      <c r="M45" s="1173">
        <v>5</v>
      </c>
      <c r="N45" s="1173">
        <v>83</v>
      </c>
      <c r="O45" s="1173">
        <v>18</v>
      </c>
      <c r="P45" s="1173">
        <v>75</v>
      </c>
      <c r="Q45" s="1173">
        <v>25</v>
      </c>
      <c r="R45" s="1173">
        <v>82</v>
      </c>
      <c r="S45" s="1173">
        <v>5</v>
      </c>
      <c r="T45" s="1171">
        <v>11</v>
      </c>
      <c r="U45" s="1171">
        <v>0</v>
      </c>
      <c r="V45" s="1171">
        <v>0</v>
      </c>
      <c r="W45" s="1171">
        <v>16</v>
      </c>
      <c r="X45" s="1171">
        <v>71</v>
      </c>
      <c r="Y45" s="1171">
        <v>0</v>
      </c>
      <c r="Z45" s="1171">
        <v>1</v>
      </c>
      <c r="AA45" s="1171">
        <v>0</v>
      </c>
      <c r="AB45" s="1171">
        <v>0</v>
      </c>
      <c r="AC45" s="1171">
        <v>0</v>
      </c>
      <c r="AD45" s="1171">
        <v>46</v>
      </c>
      <c r="AE45" s="1171">
        <v>46</v>
      </c>
      <c r="AF45" s="1171">
        <v>0</v>
      </c>
      <c r="AG45" s="1171">
        <v>0</v>
      </c>
      <c r="AH45" s="1171">
        <v>2</v>
      </c>
      <c r="AI45" s="1171">
        <v>11</v>
      </c>
      <c r="AJ45" s="1171">
        <v>6</v>
      </c>
      <c r="AK45" s="1171">
        <v>1</v>
      </c>
      <c r="AL45" s="1171">
        <v>119</v>
      </c>
      <c r="AM45" s="1171">
        <v>119</v>
      </c>
      <c r="AN45" s="1171">
        <v>0</v>
      </c>
      <c r="AO45" s="1171">
        <v>0</v>
      </c>
      <c r="AP45" s="1171">
        <v>0</v>
      </c>
      <c r="AQ45" s="1171">
        <v>0</v>
      </c>
      <c r="AR45" s="1171">
        <v>0</v>
      </c>
      <c r="AS45" s="1171">
        <v>0</v>
      </c>
      <c r="AT45" s="1171">
        <v>1</v>
      </c>
      <c r="AU45" s="1171">
        <v>3</v>
      </c>
      <c r="AV45" s="1171">
        <v>0</v>
      </c>
      <c r="AW45" s="1171">
        <v>5</v>
      </c>
      <c r="AX45" s="1171">
        <v>1</v>
      </c>
      <c r="AY45" s="1171">
        <v>4</v>
      </c>
      <c r="AZ45" s="1171">
        <v>42</v>
      </c>
      <c r="BA45" s="1171">
        <v>12</v>
      </c>
      <c r="BB45" s="1173">
        <v>615</v>
      </c>
      <c r="BC45" s="1171">
        <v>54</v>
      </c>
      <c r="BD45" s="1171">
        <v>54</v>
      </c>
      <c r="BE45" s="1171">
        <v>6</v>
      </c>
      <c r="BF45" s="1171">
        <v>3</v>
      </c>
      <c r="BG45" s="1171">
        <v>969</v>
      </c>
      <c r="BH45" s="1171">
        <v>78</v>
      </c>
      <c r="BI45" s="1181">
        <f t="shared" si="2"/>
        <v>936</v>
      </c>
      <c r="BJ45" s="1171">
        <v>54</v>
      </c>
      <c r="BK45" s="1181">
        <f t="shared" si="3"/>
        <v>648</v>
      </c>
      <c r="BL45" s="1175">
        <v>12</v>
      </c>
    </row>
    <row r="46" spans="1:64" s="1166" customFormat="1" ht="129.94999999999999" customHeight="1" thickBot="1">
      <c r="A46" s="1204">
        <v>40</v>
      </c>
      <c r="B46" s="1170" t="s">
        <v>1692</v>
      </c>
      <c r="C46" s="1171">
        <v>1316</v>
      </c>
      <c r="D46" s="1180">
        <v>14.398249452954047</v>
      </c>
      <c r="E46" s="1171">
        <v>778</v>
      </c>
      <c r="F46" s="1193">
        <v>514</v>
      </c>
      <c r="G46" s="1173">
        <v>2</v>
      </c>
      <c r="H46" s="1173">
        <v>20</v>
      </c>
      <c r="I46" s="1173">
        <v>0</v>
      </c>
      <c r="J46" s="1173">
        <v>5</v>
      </c>
      <c r="K46" s="1173">
        <v>38</v>
      </c>
      <c r="L46" s="1173">
        <v>0</v>
      </c>
      <c r="M46" s="1173">
        <v>0</v>
      </c>
      <c r="N46" s="1173">
        <v>15</v>
      </c>
      <c r="O46" s="1173">
        <v>2</v>
      </c>
      <c r="P46" s="1173">
        <v>87</v>
      </c>
      <c r="Q46" s="1173">
        <v>0</v>
      </c>
      <c r="R46" s="1173">
        <v>13</v>
      </c>
      <c r="S46" s="1173">
        <v>10</v>
      </c>
      <c r="T46" s="1171">
        <v>0</v>
      </c>
      <c r="U46" s="1171">
        <v>0</v>
      </c>
      <c r="V46" s="1171">
        <v>0</v>
      </c>
      <c r="W46" s="1171">
        <v>0</v>
      </c>
      <c r="X46" s="1171">
        <v>70</v>
      </c>
      <c r="Y46" s="1171">
        <v>0</v>
      </c>
      <c r="Z46" s="1171">
        <v>1</v>
      </c>
      <c r="AA46" s="1171">
        <v>0</v>
      </c>
      <c r="AB46" s="1171">
        <v>3</v>
      </c>
      <c r="AC46" s="1171">
        <v>0</v>
      </c>
      <c r="AD46" s="1171">
        <v>0</v>
      </c>
      <c r="AE46" s="1171">
        <v>0</v>
      </c>
      <c r="AF46" s="1171">
        <v>0</v>
      </c>
      <c r="AG46" s="1171">
        <v>1</v>
      </c>
      <c r="AH46" s="1171">
        <v>0</v>
      </c>
      <c r="AI46" s="1171">
        <v>8</v>
      </c>
      <c r="AJ46" s="1171">
        <v>0</v>
      </c>
      <c r="AK46" s="1171">
        <v>0</v>
      </c>
      <c r="AL46" s="1171">
        <v>142</v>
      </c>
      <c r="AM46" s="1171">
        <v>142</v>
      </c>
      <c r="AN46" s="1171">
        <v>0</v>
      </c>
      <c r="AO46" s="1171">
        <v>0</v>
      </c>
      <c r="AP46" s="1171">
        <v>0</v>
      </c>
      <c r="AQ46" s="1171">
        <v>0</v>
      </c>
      <c r="AR46" s="1171">
        <v>0</v>
      </c>
      <c r="AS46" s="1171">
        <v>0</v>
      </c>
      <c r="AT46" s="1171">
        <v>14</v>
      </c>
      <c r="AU46" s="1171">
        <v>1</v>
      </c>
      <c r="AV46" s="1171">
        <v>0</v>
      </c>
      <c r="AW46" s="1171">
        <v>3</v>
      </c>
      <c r="AX46" s="1171">
        <v>0</v>
      </c>
      <c r="AY46" s="1171">
        <v>0</v>
      </c>
      <c r="AZ46" s="1171">
        <v>50</v>
      </c>
      <c r="BA46" s="1171">
        <v>10</v>
      </c>
      <c r="BB46" s="1173">
        <v>800</v>
      </c>
      <c r="BC46" s="1171">
        <v>66</v>
      </c>
      <c r="BD46" s="1171">
        <v>70</v>
      </c>
      <c r="BE46" s="1171">
        <v>58</v>
      </c>
      <c r="BF46" s="1171">
        <v>35</v>
      </c>
      <c r="BG46" s="1171">
        <v>1171</v>
      </c>
      <c r="BH46" s="1171">
        <v>184</v>
      </c>
      <c r="BI46" s="1181">
        <f t="shared" si="2"/>
        <v>2208</v>
      </c>
      <c r="BJ46" s="1171">
        <v>176</v>
      </c>
      <c r="BK46" s="1181">
        <f t="shared" si="3"/>
        <v>2112</v>
      </c>
      <c r="BL46" s="1175">
        <v>9</v>
      </c>
    </row>
    <row r="47" spans="1:64" s="1166" customFormat="1" ht="129.94999999999999" customHeight="1" thickBot="1">
      <c r="A47" s="1204">
        <v>41</v>
      </c>
      <c r="B47" s="1170" t="s">
        <v>1693</v>
      </c>
      <c r="C47" s="1171">
        <v>1692</v>
      </c>
      <c r="D47" s="1180">
        <v>26.60377358490566</v>
      </c>
      <c r="E47" s="1171">
        <v>908</v>
      </c>
      <c r="F47" s="1193">
        <v>477</v>
      </c>
      <c r="G47" s="1173">
        <v>0</v>
      </c>
      <c r="H47" s="1173">
        <v>0</v>
      </c>
      <c r="I47" s="1173">
        <v>0</v>
      </c>
      <c r="J47" s="1173">
        <v>3</v>
      </c>
      <c r="K47" s="1173">
        <v>11</v>
      </c>
      <c r="L47" s="1173">
        <v>0</v>
      </c>
      <c r="M47" s="1173">
        <v>2</v>
      </c>
      <c r="N47" s="1173">
        <v>12</v>
      </c>
      <c r="O47" s="1173">
        <v>6</v>
      </c>
      <c r="P47" s="1173">
        <v>41</v>
      </c>
      <c r="Q47" s="1173">
        <v>0</v>
      </c>
      <c r="R47" s="1173">
        <v>23</v>
      </c>
      <c r="S47" s="1173">
        <v>1</v>
      </c>
      <c r="T47" s="1171">
        <v>16</v>
      </c>
      <c r="U47" s="1171">
        <v>0</v>
      </c>
      <c r="V47" s="1171">
        <v>0</v>
      </c>
      <c r="W47" s="1171">
        <v>0</v>
      </c>
      <c r="X47" s="1171">
        <v>145</v>
      </c>
      <c r="Y47" s="1171">
        <v>0</v>
      </c>
      <c r="Z47" s="1171">
        <v>25</v>
      </c>
      <c r="AA47" s="1171">
        <v>186</v>
      </c>
      <c r="AB47" s="1171">
        <v>1</v>
      </c>
      <c r="AC47" s="1171">
        <v>0</v>
      </c>
      <c r="AD47" s="1171">
        <v>0</v>
      </c>
      <c r="AE47" s="1171">
        <v>0</v>
      </c>
      <c r="AF47" s="1171">
        <v>0</v>
      </c>
      <c r="AG47" s="1171">
        <v>2</v>
      </c>
      <c r="AH47" s="1171">
        <v>1</v>
      </c>
      <c r="AI47" s="1171">
        <v>3</v>
      </c>
      <c r="AJ47" s="1171">
        <v>4</v>
      </c>
      <c r="AK47" s="1171">
        <v>0</v>
      </c>
      <c r="AL47" s="1171">
        <v>204</v>
      </c>
      <c r="AM47" s="1171">
        <v>204</v>
      </c>
      <c r="AN47" s="1171">
        <v>0</v>
      </c>
      <c r="AO47" s="1171">
        <v>0</v>
      </c>
      <c r="AP47" s="1171">
        <v>0</v>
      </c>
      <c r="AQ47" s="1171">
        <v>0</v>
      </c>
      <c r="AR47" s="1171">
        <v>0</v>
      </c>
      <c r="AS47" s="1171">
        <v>0</v>
      </c>
      <c r="AT47" s="1171">
        <v>0</v>
      </c>
      <c r="AU47" s="1171">
        <v>1</v>
      </c>
      <c r="AV47" s="1171">
        <v>4</v>
      </c>
      <c r="AW47" s="1171">
        <v>1</v>
      </c>
      <c r="AX47" s="1171">
        <v>0</v>
      </c>
      <c r="AY47" s="1171">
        <v>4</v>
      </c>
      <c r="AZ47" s="1171">
        <v>79</v>
      </c>
      <c r="BA47" s="1171">
        <v>46</v>
      </c>
      <c r="BB47" s="1201">
        <v>663</v>
      </c>
      <c r="BC47" s="1171">
        <v>234</v>
      </c>
      <c r="BD47" s="1171">
        <v>106</v>
      </c>
      <c r="BE47" s="1171">
        <v>117</v>
      </c>
      <c r="BF47" s="1171">
        <v>51</v>
      </c>
      <c r="BG47" s="1171">
        <v>712</v>
      </c>
      <c r="BH47" s="1171">
        <v>157</v>
      </c>
      <c r="BI47" s="1181">
        <f t="shared" si="2"/>
        <v>1884</v>
      </c>
      <c r="BJ47" s="1171">
        <v>70</v>
      </c>
      <c r="BK47" s="1181">
        <f t="shared" si="3"/>
        <v>840</v>
      </c>
      <c r="BL47" s="1175">
        <v>15</v>
      </c>
    </row>
    <row r="48" spans="1:64" s="1166" customFormat="1" ht="129.94999999999999" customHeight="1" thickBot="1">
      <c r="A48" s="1204">
        <v>42</v>
      </c>
      <c r="B48" s="1170" t="s">
        <v>1694</v>
      </c>
      <c r="C48" s="1171">
        <v>1795</v>
      </c>
      <c r="D48" s="1180">
        <v>17.604943114947037</v>
      </c>
      <c r="E48" s="1171">
        <v>1091</v>
      </c>
      <c r="F48" s="1174">
        <v>903</v>
      </c>
      <c r="G48" s="1174">
        <v>1</v>
      </c>
      <c r="H48" s="1173">
        <v>27</v>
      </c>
      <c r="I48" s="1173">
        <v>6</v>
      </c>
      <c r="J48" s="1173">
        <v>28</v>
      </c>
      <c r="K48" s="1173">
        <v>41</v>
      </c>
      <c r="L48" s="1173">
        <v>7</v>
      </c>
      <c r="M48" s="1173">
        <v>3</v>
      </c>
      <c r="N48" s="1173">
        <v>174</v>
      </c>
      <c r="O48" s="1173">
        <v>140</v>
      </c>
      <c r="P48" s="1173">
        <v>95</v>
      </c>
      <c r="Q48" s="1173">
        <v>35</v>
      </c>
      <c r="R48" s="1173">
        <v>296</v>
      </c>
      <c r="S48" s="1173">
        <v>13</v>
      </c>
      <c r="T48" s="1171">
        <v>12</v>
      </c>
      <c r="U48" s="1171">
        <v>0</v>
      </c>
      <c r="V48" s="1171">
        <v>3</v>
      </c>
      <c r="W48" s="1171">
        <v>3</v>
      </c>
      <c r="X48" s="1171">
        <v>65</v>
      </c>
      <c r="Y48" s="1171">
        <v>0</v>
      </c>
      <c r="Z48" s="1171">
        <v>0</v>
      </c>
      <c r="AA48" s="1171">
        <v>0</v>
      </c>
      <c r="AB48" s="1171">
        <v>0</v>
      </c>
      <c r="AC48" s="1171">
        <v>0</v>
      </c>
      <c r="AD48" s="1171">
        <v>55</v>
      </c>
      <c r="AE48" s="1171">
        <v>55</v>
      </c>
      <c r="AF48" s="1171">
        <v>2</v>
      </c>
      <c r="AG48" s="1171">
        <v>0</v>
      </c>
      <c r="AH48" s="1171">
        <v>1</v>
      </c>
      <c r="AI48" s="1171">
        <v>18</v>
      </c>
      <c r="AJ48" s="1171">
        <v>6</v>
      </c>
      <c r="AK48" s="1171">
        <v>0</v>
      </c>
      <c r="AL48" s="1171">
        <v>115</v>
      </c>
      <c r="AM48" s="1171">
        <v>115</v>
      </c>
      <c r="AN48" s="1171">
        <v>2</v>
      </c>
      <c r="AO48" s="1171">
        <v>7</v>
      </c>
      <c r="AP48" s="1171">
        <v>67</v>
      </c>
      <c r="AQ48" s="1171">
        <v>0</v>
      </c>
      <c r="AR48" s="1171">
        <v>0</v>
      </c>
      <c r="AS48" s="1171">
        <v>0</v>
      </c>
      <c r="AT48" s="1171">
        <v>0</v>
      </c>
      <c r="AU48" s="1171">
        <v>6</v>
      </c>
      <c r="AV48" s="1171">
        <v>7</v>
      </c>
      <c r="AW48" s="1171">
        <v>5</v>
      </c>
      <c r="AX48" s="1171">
        <v>2</v>
      </c>
      <c r="AY48" s="1171">
        <v>1</v>
      </c>
      <c r="AZ48" s="1171">
        <v>39</v>
      </c>
      <c r="BA48" s="1171">
        <v>15</v>
      </c>
      <c r="BB48" s="1171">
        <v>648</v>
      </c>
      <c r="BC48" s="1171">
        <v>138</v>
      </c>
      <c r="BD48" s="1171">
        <v>92</v>
      </c>
      <c r="BE48" s="1171">
        <v>41</v>
      </c>
      <c r="BF48" s="1171">
        <v>5</v>
      </c>
      <c r="BG48" s="1171">
        <v>338</v>
      </c>
      <c r="BH48" s="1171">
        <v>189</v>
      </c>
      <c r="BI48" s="1181">
        <f t="shared" si="2"/>
        <v>2268</v>
      </c>
      <c r="BJ48" s="1171">
        <v>348</v>
      </c>
      <c r="BK48" s="1181">
        <f t="shared" si="3"/>
        <v>4176</v>
      </c>
      <c r="BL48" s="1175">
        <v>8.5</v>
      </c>
    </row>
    <row r="49" spans="1:65" s="1166" customFormat="1" ht="132" customHeight="1" thickBot="1">
      <c r="A49" s="1204">
        <v>43</v>
      </c>
      <c r="B49" s="1170" t="s">
        <v>1695</v>
      </c>
      <c r="C49" s="1171">
        <v>15747</v>
      </c>
      <c r="D49" s="1192">
        <v>96.9</v>
      </c>
      <c r="E49" s="1171">
        <v>4837</v>
      </c>
      <c r="F49" s="1193">
        <v>4130</v>
      </c>
      <c r="G49" s="1173">
        <v>66</v>
      </c>
      <c r="H49" s="1173">
        <v>197</v>
      </c>
      <c r="I49" s="1173">
        <v>40</v>
      </c>
      <c r="J49" s="1173">
        <v>7</v>
      </c>
      <c r="K49" s="1173">
        <v>309</v>
      </c>
      <c r="L49" s="1173">
        <v>212</v>
      </c>
      <c r="M49" s="1173">
        <v>26</v>
      </c>
      <c r="N49" s="1173">
        <v>365</v>
      </c>
      <c r="O49" s="1173">
        <v>10</v>
      </c>
      <c r="P49" s="1173">
        <v>345</v>
      </c>
      <c r="Q49" s="1173">
        <v>71</v>
      </c>
      <c r="R49" s="1173">
        <v>653</v>
      </c>
      <c r="S49" s="1173">
        <v>26</v>
      </c>
      <c r="T49" s="1171">
        <v>11</v>
      </c>
      <c r="U49" s="1171">
        <v>0</v>
      </c>
      <c r="V49" s="1171">
        <v>2</v>
      </c>
      <c r="W49" s="1171">
        <v>126</v>
      </c>
      <c r="X49" s="1171">
        <v>540</v>
      </c>
      <c r="Y49" s="1171">
        <v>0</v>
      </c>
      <c r="Z49" s="1171">
        <v>9</v>
      </c>
      <c r="AA49" s="1171">
        <v>46</v>
      </c>
      <c r="AB49" s="1171">
        <v>0</v>
      </c>
      <c r="AC49" s="1171">
        <v>0</v>
      </c>
      <c r="AD49" s="1171">
        <v>122</v>
      </c>
      <c r="AE49" s="1171">
        <v>122</v>
      </c>
      <c r="AF49" s="1171">
        <v>6</v>
      </c>
      <c r="AG49" s="1171">
        <v>0</v>
      </c>
      <c r="AH49" s="1171">
        <v>7</v>
      </c>
      <c r="AI49" s="1171">
        <v>124</v>
      </c>
      <c r="AJ49" s="1171">
        <v>7</v>
      </c>
      <c r="AK49" s="1171">
        <v>0</v>
      </c>
      <c r="AL49" s="1171">
        <v>2156</v>
      </c>
      <c r="AM49" s="1171">
        <v>2156</v>
      </c>
      <c r="AN49" s="1171">
        <v>178</v>
      </c>
      <c r="AO49" s="1171">
        <v>78</v>
      </c>
      <c r="AP49" s="1171">
        <v>1031</v>
      </c>
      <c r="AQ49" s="1171">
        <v>0</v>
      </c>
      <c r="AR49" s="1171">
        <v>43</v>
      </c>
      <c r="AS49" s="1171">
        <v>14</v>
      </c>
      <c r="AT49" s="1171">
        <v>139</v>
      </c>
      <c r="AU49" s="1171">
        <v>37</v>
      </c>
      <c r="AV49" s="1171">
        <v>23</v>
      </c>
      <c r="AW49" s="1171">
        <v>58</v>
      </c>
      <c r="AX49" s="1171">
        <v>4</v>
      </c>
      <c r="AY49" s="1171">
        <v>111</v>
      </c>
      <c r="AZ49" s="1171">
        <v>352</v>
      </c>
      <c r="BA49" s="1171">
        <v>113</v>
      </c>
      <c r="BB49" s="1173">
        <v>10820</v>
      </c>
      <c r="BC49" s="1171">
        <v>171</v>
      </c>
      <c r="BD49" s="1171">
        <v>173</v>
      </c>
      <c r="BE49" s="1171">
        <v>173</v>
      </c>
      <c r="BF49" s="1171">
        <v>173</v>
      </c>
      <c r="BG49" s="1171">
        <v>14588</v>
      </c>
      <c r="BH49" s="1171">
        <v>769</v>
      </c>
      <c r="BI49" s="1171">
        <f t="shared" si="2"/>
        <v>9228</v>
      </c>
      <c r="BJ49" s="1171">
        <v>493</v>
      </c>
      <c r="BK49" s="1171">
        <f t="shared" si="3"/>
        <v>5916</v>
      </c>
      <c r="BL49" s="1175">
        <v>10</v>
      </c>
    </row>
    <row r="50" spans="1:65" s="1166" customFormat="1" ht="132" customHeight="1" thickBot="1">
      <c r="A50" s="1204">
        <v>44</v>
      </c>
      <c r="B50" s="1170" t="s">
        <v>1696</v>
      </c>
      <c r="C50" s="1171">
        <v>6016</v>
      </c>
      <c r="D50" s="1192">
        <v>33.6</v>
      </c>
      <c r="E50" s="1171">
        <v>2728</v>
      </c>
      <c r="F50" s="1193">
        <v>1792</v>
      </c>
      <c r="G50" s="1173">
        <v>12</v>
      </c>
      <c r="H50" s="1173">
        <v>223</v>
      </c>
      <c r="I50" s="1173">
        <v>36</v>
      </c>
      <c r="J50" s="1173">
        <v>15</v>
      </c>
      <c r="K50" s="1173">
        <v>68</v>
      </c>
      <c r="L50" s="1173">
        <v>19</v>
      </c>
      <c r="M50" s="1173">
        <v>5</v>
      </c>
      <c r="N50" s="1173">
        <v>87</v>
      </c>
      <c r="O50" s="1173">
        <v>15</v>
      </c>
      <c r="P50" s="1173">
        <v>162</v>
      </c>
      <c r="Q50" s="1173">
        <v>43</v>
      </c>
      <c r="R50" s="1173">
        <v>217</v>
      </c>
      <c r="S50" s="1173">
        <v>53</v>
      </c>
      <c r="T50" s="1171">
        <v>65</v>
      </c>
      <c r="U50" s="1171">
        <v>17</v>
      </c>
      <c r="V50" s="1171">
        <v>1</v>
      </c>
      <c r="W50" s="1171">
        <v>31</v>
      </c>
      <c r="X50" s="1171">
        <v>246</v>
      </c>
      <c r="Y50" s="1171">
        <v>0</v>
      </c>
      <c r="Z50" s="1171">
        <v>3</v>
      </c>
      <c r="AA50" s="1171">
        <v>11</v>
      </c>
      <c r="AB50" s="1171">
        <v>2</v>
      </c>
      <c r="AC50" s="1171">
        <v>0</v>
      </c>
      <c r="AD50" s="1171">
        <v>61</v>
      </c>
      <c r="AE50" s="1171">
        <v>61</v>
      </c>
      <c r="AF50" s="1171">
        <v>5</v>
      </c>
      <c r="AG50" s="1171">
        <v>2</v>
      </c>
      <c r="AH50" s="1171">
        <v>10</v>
      </c>
      <c r="AI50" s="1171">
        <v>36</v>
      </c>
      <c r="AJ50" s="1171">
        <v>13</v>
      </c>
      <c r="AK50" s="1171">
        <v>2</v>
      </c>
      <c r="AL50" s="1171">
        <v>663</v>
      </c>
      <c r="AM50" s="1171">
        <v>645</v>
      </c>
      <c r="AN50" s="1171">
        <v>25</v>
      </c>
      <c r="AO50" s="1171">
        <v>40</v>
      </c>
      <c r="AP50" s="1171">
        <v>174</v>
      </c>
      <c r="AQ50" s="1171">
        <v>0</v>
      </c>
      <c r="AR50" s="1171">
        <v>18</v>
      </c>
      <c r="AS50" s="1171">
        <v>156</v>
      </c>
      <c r="AT50" s="1171">
        <v>155</v>
      </c>
      <c r="AU50" s="1171">
        <v>0</v>
      </c>
      <c r="AV50" s="1171">
        <v>15</v>
      </c>
      <c r="AW50" s="1171">
        <v>6</v>
      </c>
      <c r="AX50" s="1171">
        <v>0</v>
      </c>
      <c r="AY50" s="1171">
        <v>0</v>
      </c>
      <c r="AZ50" s="1171">
        <v>152</v>
      </c>
      <c r="BA50" s="1171">
        <v>0</v>
      </c>
      <c r="BB50" s="1173">
        <v>2981</v>
      </c>
      <c r="BC50" s="1171">
        <v>206</v>
      </c>
      <c r="BD50" s="1171">
        <v>164</v>
      </c>
      <c r="BE50" s="1171">
        <v>52</v>
      </c>
      <c r="BF50" s="1171">
        <v>9</v>
      </c>
      <c r="BG50" s="1171">
        <v>1736</v>
      </c>
      <c r="BH50" s="1171">
        <v>509</v>
      </c>
      <c r="BI50" s="1171">
        <f t="shared" si="2"/>
        <v>6108</v>
      </c>
      <c r="BJ50" s="1171">
        <v>1007</v>
      </c>
      <c r="BK50" s="1171">
        <f t="shared" si="3"/>
        <v>12084</v>
      </c>
      <c r="BL50" s="1175">
        <v>4</v>
      </c>
    </row>
    <row r="51" spans="1:65" s="1166" customFormat="1" ht="132" customHeight="1" thickBot="1">
      <c r="A51" s="1204">
        <v>45</v>
      </c>
      <c r="B51" s="1170" t="s">
        <v>1697</v>
      </c>
      <c r="C51" s="1171">
        <v>7174</v>
      </c>
      <c r="D51" s="1192">
        <v>29.6</v>
      </c>
      <c r="E51" s="1171">
        <v>2310</v>
      </c>
      <c r="F51" s="1193">
        <v>1379</v>
      </c>
      <c r="G51" s="1173">
        <v>26</v>
      </c>
      <c r="H51" s="1173">
        <v>155</v>
      </c>
      <c r="I51" s="1173">
        <v>39</v>
      </c>
      <c r="J51" s="1173">
        <v>4</v>
      </c>
      <c r="K51" s="1173">
        <v>30</v>
      </c>
      <c r="L51" s="1173">
        <v>29</v>
      </c>
      <c r="M51" s="1173">
        <v>18</v>
      </c>
      <c r="N51" s="1173">
        <v>103</v>
      </c>
      <c r="O51" s="1173">
        <v>14</v>
      </c>
      <c r="P51" s="1173">
        <v>162</v>
      </c>
      <c r="Q51" s="1173">
        <v>47</v>
      </c>
      <c r="R51" s="1173">
        <v>1563</v>
      </c>
      <c r="S51" s="1173">
        <v>17</v>
      </c>
      <c r="T51" s="1171">
        <v>35</v>
      </c>
      <c r="U51" s="1171">
        <v>5</v>
      </c>
      <c r="V51" s="1171">
        <v>0</v>
      </c>
      <c r="W51" s="1171">
        <v>38</v>
      </c>
      <c r="X51" s="1171">
        <v>163</v>
      </c>
      <c r="Y51" s="1171">
        <v>0</v>
      </c>
      <c r="Z51" s="1171">
        <v>10</v>
      </c>
      <c r="AA51" s="1171">
        <v>9</v>
      </c>
      <c r="AB51" s="1171">
        <v>0</v>
      </c>
      <c r="AC51" s="1171">
        <v>0</v>
      </c>
      <c r="AD51" s="1171">
        <v>41</v>
      </c>
      <c r="AE51" s="1171">
        <v>40</v>
      </c>
      <c r="AF51" s="1171">
        <v>4</v>
      </c>
      <c r="AG51" s="1171">
        <v>5</v>
      </c>
      <c r="AH51" s="1171">
        <v>0</v>
      </c>
      <c r="AI51" s="1171">
        <v>35</v>
      </c>
      <c r="AJ51" s="1171">
        <v>21</v>
      </c>
      <c r="AK51" s="1171">
        <v>2</v>
      </c>
      <c r="AL51" s="1171">
        <v>835</v>
      </c>
      <c r="AM51" s="1171">
        <v>726</v>
      </c>
      <c r="AN51" s="1171">
        <v>302</v>
      </c>
      <c r="AO51" s="1171">
        <v>5</v>
      </c>
      <c r="AP51" s="1171">
        <v>148</v>
      </c>
      <c r="AQ51" s="1171">
        <v>0</v>
      </c>
      <c r="AR51" s="1171">
        <v>53</v>
      </c>
      <c r="AS51" s="1171">
        <v>56</v>
      </c>
      <c r="AT51" s="1171">
        <v>69</v>
      </c>
      <c r="AU51" s="1171">
        <v>6</v>
      </c>
      <c r="AV51" s="1171">
        <v>6</v>
      </c>
      <c r="AW51" s="1171">
        <v>3</v>
      </c>
      <c r="AX51" s="1171">
        <v>1</v>
      </c>
      <c r="AY51" s="1171">
        <v>4</v>
      </c>
      <c r="AZ51" s="1171">
        <v>73</v>
      </c>
      <c r="BA51" s="1171">
        <v>55</v>
      </c>
      <c r="BB51" s="1173">
        <v>3703</v>
      </c>
      <c r="BC51" s="1171">
        <v>776</v>
      </c>
      <c r="BD51" s="1171">
        <v>380</v>
      </c>
      <c r="BE51" s="1171">
        <v>53</v>
      </c>
      <c r="BF51" s="1171">
        <v>670</v>
      </c>
      <c r="BG51" s="1171">
        <v>1166</v>
      </c>
      <c r="BH51" s="1171">
        <v>673</v>
      </c>
      <c r="BI51" s="1171">
        <f t="shared" si="2"/>
        <v>8076</v>
      </c>
      <c r="BJ51" s="1171">
        <v>1228</v>
      </c>
      <c r="BK51" s="1171">
        <f t="shared" si="3"/>
        <v>14736</v>
      </c>
      <c r="BL51" s="1175">
        <v>8</v>
      </c>
    </row>
    <row r="52" spans="1:65" s="1166" customFormat="1" ht="132" customHeight="1" thickBot="1">
      <c r="A52" s="1204">
        <v>46</v>
      </c>
      <c r="B52" s="1170" t="s">
        <v>1698</v>
      </c>
      <c r="C52" s="1171">
        <v>5358</v>
      </c>
      <c r="D52" s="1192">
        <v>26.5</v>
      </c>
      <c r="E52" s="1171">
        <v>2422</v>
      </c>
      <c r="F52" s="1193">
        <v>1738</v>
      </c>
      <c r="G52" s="1173">
        <v>12</v>
      </c>
      <c r="H52" s="1173">
        <v>119</v>
      </c>
      <c r="I52" s="1173">
        <v>21</v>
      </c>
      <c r="J52" s="1173">
        <v>1</v>
      </c>
      <c r="K52" s="1173">
        <v>96</v>
      </c>
      <c r="L52" s="1173">
        <v>10</v>
      </c>
      <c r="M52" s="1173">
        <v>0</v>
      </c>
      <c r="N52" s="1173">
        <v>88</v>
      </c>
      <c r="O52" s="1173">
        <v>7</v>
      </c>
      <c r="P52" s="1173">
        <v>215</v>
      </c>
      <c r="Q52" s="1173">
        <v>66</v>
      </c>
      <c r="R52" s="1173">
        <v>84</v>
      </c>
      <c r="S52" s="1173">
        <v>9</v>
      </c>
      <c r="T52" s="1171">
        <v>21</v>
      </c>
      <c r="U52" s="1171">
        <v>1</v>
      </c>
      <c r="V52" s="1171">
        <v>26</v>
      </c>
      <c r="W52" s="1171">
        <v>45</v>
      </c>
      <c r="X52" s="1171">
        <v>176</v>
      </c>
      <c r="Y52" s="1171">
        <v>0</v>
      </c>
      <c r="Z52" s="1171">
        <v>0</v>
      </c>
      <c r="AA52" s="1171">
        <v>0</v>
      </c>
      <c r="AB52" s="1171">
        <v>1</v>
      </c>
      <c r="AC52" s="1171">
        <v>0</v>
      </c>
      <c r="AD52" s="1171">
        <v>49</v>
      </c>
      <c r="AE52" s="1171">
        <v>49</v>
      </c>
      <c r="AF52" s="1171">
        <v>2</v>
      </c>
      <c r="AG52" s="1171">
        <v>1</v>
      </c>
      <c r="AH52" s="1171">
        <v>1</v>
      </c>
      <c r="AI52" s="1171">
        <v>16</v>
      </c>
      <c r="AJ52" s="1171">
        <v>8</v>
      </c>
      <c r="AK52" s="1171">
        <v>0</v>
      </c>
      <c r="AL52" s="1171">
        <v>637</v>
      </c>
      <c r="AM52" s="1171">
        <v>637</v>
      </c>
      <c r="AN52" s="1171">
        <v>0</v>
      </c>
      <c r="AO52" s="1171">
        <v>64</v>
      </c>
      <c r="AP52" s="1171">
        <v>185</v>
      </c>
      <c r="AQ52" s="1171">
        <v>0</v>
      </c>
      <c r="AR52" s="1171">
        <v>0</v>
      </c>
      <c r="AS52" s="1171">
        <v>13</v>
      </c>
      <c r="AT52" s="1171">
        <v>115</v>
      </c>
      <c r="AU52" s="1171">
        <v>7</v>
      </c>
      <c r="AV52" s="1171">
        <v>7</v>
      </c>
      <c r="AW52" s="1171">
        <v>28</v>
      </c>
      <c r="AX52" s="1171">
        <v>2</v>
      </c>
      <c r="AY52" s="1171">
        <v>5</v>
      </c>
      <c r="AZ52" s="1171">
        <v>93</v>
      </c>
      <c r="BA52" s="1171">
        <v>48</v>
      </c>
      <c r="BB52" s="1173">
        <v>3321</v>
      </c>
      <c r="BC52" s="1171">
        <v>356</v>
      </c>
      <c r="BD52" s="1171">
        <v>271</v>
      </c>
      <c r="BE52" s="1171">
        <v>104</v>
      </c>
      <c r="BF52" s="1171">
        <v>64</v>
      </c>
      <c r="BG52" s="1171">
        <v>5543</v>
      </c>
      <c r="BH52" s="1171">
        <v>593</v>
      </c>
      <c r="BI52" s="1171">
        <f t="shared" si="2"/>
        <v>7116</v>
      </c>
      <c r="BJ52" s="1171">
        <v>629</v>
      </c>
      <c r="BK52" s="1171">
        <f t="shared" si="3"/>
        <v>7548</v>
      </c>
      <c r="BL52" s="1175">
        <v>4.7</v>
      </c>
    </row>
    <row r="53" spans="1:65" s="1166" customFormat="1" ht="132" customHeight="1" thickBot="1">
      <c r="A53" s="1204">
        <v>47</v>
      </c>
      <c r="B53" s="1170" t="s">
        <v>1699</v>
      </c>
      <c r="C53" s="1171">
        <v>3393</v>
      </c>
      <c r="D53" s="1192">
        <v>24</v>
      </c>
      <c r="E53" s="1171">
        <v>1093</v>
      </c>
      <c r="F53" s="1193">
        <v>991</v>
      </c>
      <c r="G53" s="1173">
        <v>0</v>
      </c>
      <c r="H53" s="1173">
        <v>29</v>
      </c>
      <c r="I53" s="1173">
        <v>0</v>
      </c>
      <c r="J53" s="1173">
        <v>10</v>
      </c>
      <c r="K53" s="1173">
        <v>46</v>
      </c>
      <c r="L53" s="1173">
        <v>18</v>
      </c>
      <c r="M53" s="1173">
        <v>2</v>
      </c>
      <c r="N53" s="1173">
        <v>39</v>
      </c>
      <c r="O53" s="1173">
        <v>2</v>
      </c>
      <c r="P53" s="1173">
        <v>151</v>
      </c>
      <c r="Q53" s="1173">
        <v>51</v>
      </c>
      <c r="R53" s="1173">
        <v>71</v>
      </c>
      <c r="S53" s="1173">
        <v>6</v>
      </c>
      <c r="T53" s="1171">
        <v>28</v>
      </c>
      <c r="U53" s="1171">
        <v>0</v>
      </c>
      <c r="V53" s="1171">
        <v>0</v>
      </c>
      <c r="W53" s="1171">
        <v>38</v>
      </c>
      <c r="X53" s="1171">
        <v>142</v>
      </c>
      <c r="Y53" s="1171">
        <v>0</v>
      </c>
      <c r="Z53" s="1171">
        <v>1</v>
      </c>
      <c r="AA53" s="1171">
        <v>0</v>
      </c>
      <c r="AB53" s="1171">
        <v>0</v>
      </c>
      <c r="AC53" s="1171">
        <v>0</v>
      </c>
      <c r="AD53" s="1171">
        <v>41</v>
      </c>
      <c r="AE53" s="1171">
        <v>41</v>
      </c>
      <c r="AF53" s="1171">
        <v>1</v>
      </c>
      <c r="AG53" s="1171">
        <v>0</v>
      </c>
      <c r="AH53" s="1171">
        <v>1</v>
      </c>
      <c r="AI53" s="1171">
        <v>11</v>
      </c>
      <c r="AJ53" s="1171">
        <v>3</v>
      </c>
      <c r="AK53" s="1171">
        <v>1</v>
      </c>
      <c r="AL53" s="1171">
        <v>330</v>
      </c>
      <c r="AM53" s="1171">
        <v>84</v>
      </c>
      <c r="AN53" s="1171">
        <v>5</v>
      </c>
      <c r="AO53" s="1171">
        <v>2</v>
      </c>
      <c r="AP53" s="1171">
        <v>18</v>
      </c>
      <c r="AQ53" s="1171">
        <v>0</v>
      </c>
      <c r="AR53" s="1171">
        <v>51</v>
      </c>
      <c r="AS53" s="1171">
        <v>0</v>
      </c>
      <c r="AT53" s="1171">
        <v>4</v>
      </c>
      <c r="AU53" s="1171">
        <v>1</v>
      </c>
      <c r="AV53" s="1171">
        <v>1</v>
      </c>
      <c r="AW53" s="1171">
        <v>6</v>
      </c>
      <c r="AX53" s="1171">
        <v>0</v>
      </c>
      <c r="AY53" s="1171">
        <v>0</v>
      </c>
      <c r="AZ53" s="1171">
        <v>9</v>
      </c>
      <c r="BA53" s="1171">
        <v>3</v>
      </c>
      <c r="BB53" s="1173">
        <v>7563</v>
      </c>
      <c r="BC53" s="1171">
        <v>226</v>
      </c>
      <c r="BD53" s="1171">
        <v>246</v>
      </c>
      <c r="BE53" s="1171">
        <v>114</v>
      </c>
      <c r="BF53" s="1171">
        <v>65</v>
      </c>
      <c r="BG53" s="1171">
        <v>2686</v>
      </c>
      <c r="BH53" s="1171">
        <v>232</v>
      </c>
      <c r="BI53" s="1171">
        <f t="shared" si="2"/>
        <v>2784</v>
      </c>
      <c r="BJ53" s="1171">
        <v>712</v>
      </c>
      <c r="BK53" s="1171">
        <f>BJ53*12</f>
        <v>8544</v>
      </c>
      <c r="BL53" s="1175">
        <v>3.5</v>
      </c>
    </row>
    <row r="54" spans="1:65" s="1166" customFormat="1" ht="132" customHeight="1" thickBot="1">
      <c r="A54" s="1204">
        <v>48</v>
      </c>
      <c r="B54" s="1170" t="s">
        <v>1700</v>
      </c>
      <c r="C54" s="1171">
        <v>3007</v>
      </c>
      <c r="D54" s="1192">
        <v>17.5</v>
      </c>
      <c r="E54" s="1171">
        <v>1510</v>
      </c>
      <c r="F54" s="1193">
        <v>1412</v>
      </c>
      <c r="G54" s="1173">
        <v>5</v>
      </c>
      <c r="H54" s="1173">
        <v>64</v>
      </c>
      <c r="I54" s="1173">
        <v>0</v>
      </c>
      <c r="J54" s="1173">
        <v>23</v>
      </c>
      <c r="K54" s="1173">
        <v>40</v>
      </c>
      <c r="L54" s="1173">
        <v>7</v>
      </c>
      <c r="M54" s="1173">
        <v>15</v>
      </c>
      <c r="N54" s="1173">
        <v>46</v>
      </c>
      <c r="O54" s="1173">
        <v>4</v>
      </c>
      <c r="P54" s="1173">
        <v>189</v>
      </c>
      <c r="Q54" s="1173">
        <v>93</v>
      </c>
      <c r="R54" s="1173">
        <v>117</v>
      </c>
      <c r="S54" s="1173">
        <v>22</v>
      </c>
      <c r="T54" s="1171">
        <v>15</v>
      </c>
      <c r="U54" s="1171">
        <v>0</v>
      </c>
      <c r="V54" s="1171">
        <v>0</v>
      </c>
      <c r="W54" s="1171">
        <v>19</v>
      </c>
      <c r="X54" s="1171">
        <v>120</v>
      </c>
      <c r="Y54" s="1171">
        <v>0</v>
      </c>
      <c r="Z54" s="1171">
        <v>5</v>
      </c>
      <c r="AA54" s="1171">
        <v>77</v>
      </c>
      <c r="AB54" s="1171">
        <v>0</v>
      </c>
      <c r="AC54" s="1171">
        <v>0</v>
      </c>
      <c r="AD54" s="1171">
        <v>75</v>
      </c>
      <c r="AE54" s="1171">
        <v>75</v>
      </c>
      <c r="AF54" s="1171">
        <v>9</v>
      </c>
      <c r="AG54" s="1171">
        <v>0</v>
      </c>
      <c r="AH54" s="1171">
        <v>1</v>
      </c>
      <c r="AI54" s="1171">
        <v>21</v>
      </c>
      <c r="AJ54" s="1171">
        <v>0</v>
      </c>
      <c r="AK54" s="1171">
        <v>0</v>
      </c>
      <c r="AL54" s="1171">
        <v>507</v>
      </c>
      <c r="AM54" s="1171">
        <v>490</v>
      </c>
      <c r="AN54" s="1171">
        <v>25</v>
      </c>
      <c r="AO54" s="1171">
        <v>43</v>
      </c>
      <c r="AP54" s="1171">
        <v>196</v>
      </c>
      <c r="AQ54" s="1171">
        <v>0</v>
      </c>
      <c r="AR54" s="1171">
        <v>23</v>
      </c>
      <c r="AS54" s="1171">
        <v>1</v>
      </c>
      <c r="AT54" s="1171">
        <v>127</v>
      </c>
      <c r="AU54" s="1171">
        <v>4</v>
      </c>
      <c r="AV54" s="1171">
        <v>7</v>
      </c>
      <c r="AW54" s="1171">
        <v>40</v>
      </c>
      <c r="AX54" s="1171">
        <v>4</v>
      </c>
      <c r="AY54" s="1171">
        <v>3</v>
      </c>
      <c r="AZ54" s="1171">
        <v>106</v>
      </c>
      <c r="BA54" s="1171">
        <v>54</v>
      </c>
      <c r="BB54" s="1173">
        <v>1994</v>
      </c>
      <c r="BC54" s="1171">
        <v>241</v>
      </c>
      <c r="BD54" s="1171">
        <v>187</v>
      </c>
      <c r="BE54" s="1171">
        <v>141</v>
      </c>
      <c r="BF54" s="1171">
        <v>59</v>
      </c>
      <c r="BG54" s="1171">
        <v>1144</v>
      </c>
      <c r="BH54" s="1171">
        <v>246</v>
      </c>
      <c r="BI54" s="1171">
        <f t="shared" si="2"/>
        <v>2952</v>
      </c>
      <c r="BJ54" s="1171">
        <v>272</v>
      </c>
      <c r="BK54" s="1171">
        <f t="shared" si="3"/>
        <v>3264</v>
      </c>
      <c r="BL54" s="1175">
        <v>4</v>
      </c>
    </row>
    <row r="55" spans="1:65" s="1166" customFormat="1" ht="129.94999999999999" customHeight="1" thickBot="1">
      <c r="A55" s="1204">
        <v>49</v>
      </c>
      <c r="B55" s="1182" t="s">
        <v>1701</v>
      </c>
      <c r="C55" s="1171">
        <v>4099</v>
      </c>
      <c r="D55" s="1180">
        <v>27.44376004284949</v>
      </c>
      <c r="E55" s="1171">
        <v>1733</v>
      </c>
      <c r="F55" s="1193">
        <v>1722</v>
      </c>
      <c r="G55" s="1173">
        <v>2</v>
      </c>
      <c r="H55" s="1173">
        <v>104</v>
      </c>
      <c r="I55" s="1173">
        <v>0</v>
      </c>
      <c r="J55" s="1173">
        <v>2</v>
      </c>
      <c r="K55" s="1173">
        <v>59</v>
      </c>
      <c r="L55" s="1173">
        <v>9</v>
      </c>
      <c r="M55" s="1173">
        <v>4</v>
      </c>
      <c r="N55" s="1173">
        <v>116</v>
      </c>
      <c r="O55" s="1173">
        <v>6</v>
      </c>
      <c r="P55" s="1173">
        <v>144</v>
      </c>
      <c r="Q55" s="1173">
        <v>24</v>
      </c>
      <c r="R55" s="1173">
        <v>143</v>
      </c>
      <c r="S55" s="1173">
        <v>5</v>
      </c>
      <c r="T55" s="1171">
        <v>19</v>
      </c>
      <c r="U55" s="1171">
        <v>0</v>
      </c>
      <c r="V55" s="1171">
        <v>0</v>
      </c>
      <c r="W55" s="1171">
        <v>69</v>
      </c>
      <c r="X55" s="1171">
        <v>179</v>
      </c>
      <c r="Y55" s="1171">
        <v>0</v>
      </c>
      <c r="Z55" s="1171">
        <v>3</v>
      </c>
      <c r="AA55" s="1171">
        <v>14</v>
      </c>
      <c r="AB55" s="1171">
        <v>0</v>
      </c>
      <c r="AC55" s="1171">
        <v>0</v>
      </c>
      <c r="AD55" s="1171">
        <v>79</v>
      </c>
      <c r="AE55" s="1171">
        <v>79</v>
      </c>
      <c r="AF55" s="1171">
        <v>5</v>
      </c>
      <c r="AG55" s="1171">
        <v>1</v>
      </c>
      <c r="AH55" s="1171">
        <v>3</v>
      </c>
      <c r="AI55" s="1171">
        <v>23</v>
      </c>
      <c r="AJ55" s="1171">
        <v>5</v>
      </c>
      <c r="AK55" s="1171">
        <v>0</v>
      </c>
      <c r="AL55" s="1171">
        <v>368</v>
      </c>
      <c r="AM55" s="1171">
        <v>433</v>
      </c>
      <c r="AN55" s="1171">
        <v>20</v>
      </c>
      <c r="AO55" s="1171">
        <v>42</v>
      </c>
      <c r="AP55" s="1171">
        <v>187</v>
      </c>
      <c r="AQ55" s="1171">
        <v>0</v>
      </c>
      <c r="AR55" s="1171">
        <v>0</v>
      </c>
      <c r="AS55" s="1171">
        <v>3</v>
      </c>
      <c r="AT55" s="1171">
        <v>122</v>
      </c>
      <c r="AU55" s="1171">
        <v>1</v>
      </c>
      <c r="AV55" s="1171">
        <v>10</v>
      </c>
      <c r="AW55" s="1171">
        <v>15</v>
      </c>
      <c r="AX55" s="1171">
        <v>3</v>
      </c>
      <c r="AY55" s="1171">
        <v>19</v>
      </c>
      <c r="AZ55" s="1171">
        <v>90</v>
      </c>
      <c r="BA55" s="1171">
        <v>64</v>
      </c>
      <c r="BB55" s="1173">
        <v>2151</v>
      </c>
      <c r="BC55" s="1171">
        <v>401</v>
      </c>
      <c r="BD55" s="1171">
        <v>251</v>
      </c>
      <c r="BE55" s="1171">
        <v>180</v>
      </c>
      <c r="BF55" s="1171">
        <v>75</v>
      </c>
      <c r="BG55" s="1171">
        <v>2021</v>
      </c>
      <c r="BH55" s="1171">
        <v>188</v>
      </c>
      <c r="BI55" s="1181">
        <f t="shared" si="2"/>
        <v>2256</v>
      </c>
      <c r="BJ55" s="1171">
        <v>280</v>
      </c>
      <c r="BK55" s="1181">
        <f t="shared" si="3"/>
        <v>3360</v>
      </c>
      <c r="BL55" s="1175">
        <v>5</v>
      </c>
    </row>
    <row r="56" spans="1:65" s="1166" customFormat="1" ht="129.94999999999999" customHeight="1" thickBot="1">
      <c r="A56" s="1204">
        <v>50</v>
      </c>
      <c r="B56" s="1182" t="s">
        <v>1702</v>
      </c>
      <c r="C56" s="1181">
        <v>853</v>
      </c>
      <c r="D56" s="1183">
        <v>11.522355801702012</v>
      </c>
      <c r="E56" s="1181">
        <v>384</v>
      </c>
      <c r="F56" s="1194">
        <v>306</v>
      </c>
      <c r="G56" s="1184">
        <v>1</v>
      </c>
      <c r="H56" s="1184">
        <v>28</v>
      </c>
      <c r="I56" s="1184">
        <v>0</v>
      </c>
      <c r="J56" s="1184">
        <v>9</v>
      </c>
      <c r="K56" s="1184">
        <v>8</v>
      </c>
      <c r="L56" s="1184">
        <v>0</v>
      </c>
      <c r="M56" s="1184">
        <v>0</v>
      </c>
      <c r="N56" s="1184">
        <v>11</v>
      </c>
      <c r="O56" s="1184">
        <v>3</v>
      </c>
      <c r="P56" s="1184">
        <v>62</v>
      </c>
      <c r="Q56" s="1184">
        <v>0</v>
      </c>
      <c r="R56" s="1184">
        <v>456</v>
      </c>
      <c r="S56" s="1184">
        <v>5</v>
      </c>
      <c r="T56" s="1181">
        <v>4</v>
      </c>
      <c r="U56" s="1181">
        <v>0</v>
      </c>
      <c r="V56" s="1181">
        <v>0</v>
      </c>
      <c r="W56" s="1181">
        <v>0</v>
      </c>
      <c r="X56" s="1181">
        <v>11</v>
      </c>
      <c r="Y56" s="1181">
        <v>0</v>
      </c>
      <c r="Z56" s="1181">
        <v>0</v>
      </c>
      <c r="AA56" s="1181">
        <v>5</v>
      </c>
      <c r="AB56" s="1181">
        <v>0</v>
      </c>
      <c r="AC56" s="1181">
        <v>0</v>
      </c>
      <c r="AD56" s="1181">
        <v>0</v>
      </c>
      <c r="AE56" s="1181">
        <v>0</v>
      </c>
      <c r="AF56" s="1181">
        <v>0</v>
      </c>
      <c r="AG56" s="1181">
        <v>0</v>
      </c>
      <c r="AH56" s="1181">
        <v>0</v>
      </c>
      <c r="AI56" s="1181">
        <v>0</v>
      </c>
      <c r="AJ56" s="1181">
        <v>0</v>
      </c>
      <c r="AK56" s="1181">
        <v>0</v>
      </c>
      <c r="AL56" s="1181">
        <v>74</v>
      </c>
      <c r="AM56" s="1181">
        <v>74</v>
      </c>
      <c r="AN56" s="1181">
        <v>0</v>
      </c>
      <c r="AO56" s="1181">
        <v>0</v>
      </c>
      <c r="AP56" s="1181">
        <v>0</v>
      </c>
      <c r="AQ56" s="1181">
        <v>0</v>
      </c>
      <c r="AR56" s="1181">
        <v>0</v>
      </c>
      <c r="AS56" s="1181">
        <v>0</v>
      </c>
      <c r="AT56" s="1181">
        <v>30</v>
      </c>
      <c r="AU56" s="1181">
        <v>2</v>
      </c>
      <c r="AV56" s="1181">
        <v>4</v>
      </c>
      <c r="AW56" s="1181">
        <v>2</v>
      </c>
      <c r="AX56" s="1181">
        <v>0</v>
      </c>
      <c r="AY56" s="1181">
        <v>0</v>
      </c>
      <c r="AZ56" s="1181">
        <v>20</v>
      </c>
      <c r="BA56" s="1181">
        <v>1</v>
      </c>
      <c r="BB56" s="1184">
        <v>840</v>
      </c>
      <c r="BC56" s="1181">
        <v>70</v>
      </c>
      <c r="BD56" s="1181">
        <v>52</v>
      </c>
      <c r="BE56" s="1181">
        <v>6</v>
      </c>
      <c r="BF56" s="1181">
        <v>34</v>
      </c>
      <c r="BG56" s="1181">
        <v>384</v>
      </c>
      <c r="BH56" s="1181">
        <v>76</v>
      </c>
      <c r="BI56" s="1181">
        <f t="shared" si="2"/>
        <v>912</v>
      </c>
      <c r="BJ56" s="1181">
        <v>110</v>
      </c>
      <c r="BK56" s="1181">
        <f t="shared" si="3"/>
        <v>1320</v>
      </c>
      <c r="BL56" s="1185">
        <v>1</v>
      </c>
    </row>
    <row r="57" spans="1:65" s="1167" customFormat="1" ht="129.94999999999999" customHeight="1" thickBot="1">
      <c r="A57" s="1204">
        <v>51</v>
      </c>
      <c r="B57" s="1170" t="s">
        <v>1703</v>
      </c>
      <c r="C57" s="1171">
        <v>3301</v>
      </c>
      <c r="D57" s="1180">
        <v>39.471481525768262</v>
      </c>
      <c r="E57" s="1171">
        <v>959</v>
      </c>
      <c r="F57" s="1193">
        <v>403</v>
      </c>
      <c r="G57" s="1173">
        <v>0</v>
      </c>
      <c r="H57" s="1173">
        <v>38</v>
      </c>
      <c r="I57" s="1173">
        <v>0</v>
      </c>
      <c r="J57" s="1173">
        <v>8</v>
      </c>
      <c r="K57" s="1173">
        <v>16</v>
      </c>
      <c r="L57" s="1173">
        <v>0</v>
      </c>
      <c r="M57" s="1173">
        <v>0</v>
      </c>
      <c r="N57" s="1173">
        <v>37</v>
      </c>
      <c r="O57" s="1173">
        <v>1</v>
      </c>
      <c r="P57" s="1173">
        <v>36</v>
      </c>
      <c r="Q57" s="1173">
        <v>0</v>
      </c>
      <c r="R57" s="1173">
        <v>137</v>
      </c>
      <c r="S57" s="1173">
        <v>4</v>
      </c>
      <c r="T57" s="1171">
        <v>2</v>
      </c>
      <c r="U57" s="1171">
        <v>0</v>
      </c>
      <c r="V57" s="1171">
        <v>0</v>
      </c>
      <c r="W57" s="1171">
        <v>49</v>
      </c>
      <c r="X57" s="1171">
        <v>105</v>
      </c>
      <c r="Y57" s="1171">
        <v>0</v>
      </c>
      <c r="Z57" s="1171">
        <v>2</v>
      </c>
      <c r="AA57" s="1171">
        <v>45</v>
      </c>
      <c r="AB57" s="1171">
        <v>0</v>
      </c>
      <c r="AC57" s="1171">
        <v>0</v>
      </c>
      <c r="AD57" s="1171">
        <v>4</v>
      </c>
      <c r="AE57" s="1171">
        <v>0</v>
      </c>
      <c r="AF57" s="1171">
        <v>0</v>
      </c>
      <c r="AG57" s="1171">
        <v>0</v>
      </c>
      <c r="AH57" s="1171">
        <v>1</v>
      </c>
      <c r="AI57" s="1171">
        <v>6</v>
      </c>
      <c r="AJ57" s="1171">
        <v>1</v>
      </c>
      <c r="AK57" s="1171">
        <v>0</v>
      </c>
      <c r="AL57" s="1171">
        <v>203</v>
      </c>
      <c r="AM57" s="1171">
        <v>171</v>
      </c>
      <c r="AN57" s="1171">
        <v>0</v>
      </c>
      <c r="AO57" s="1171">
        <v>3</v>
      </c>
      <c r="AP57" s="1171">
        <v>0</v>
      </c>
      <c r="AQ57" s="1171">
        <v>0</v>
      </c>
      <c r="AR57" s="1171">
        <v>0</v>
      </c>
      <c r="AS57" s="1171">
        <v>26</v>
      </c>
      <c r="AT57" s="1171">
        <v>34</v>
      </c>
      <c r="AU57" s="1171">
        <v>1</v>
      </c>
      <c r="AV57" s="1171">
        <v>2</v>
      </c>
      <c r="AW57" s="1171">
        <v>1</v>
      </c>
      <c r="AX57" s="1171">
        <v>2</v>
      </c>
      <c r="AY57" s="1171">
        <v>2</v>
      </c>
      <c r="AZ57" s="1171">
        <v>45</v>
      </c>
      <c r="BA57" s="1171">
        <v>12</v>
      </c>
      <c r="BB57" s="1173">
        <v>1247</v>
      </c>
      <c r="BC57" s="1171">
        <v>111</v>
      </c>
      <c r="BD57" s="1171">
        <v>197</v>
      </c>
      <c r="BE57" s="1171">
        <v>63</v>
      </c>
      <c r="BF57" s="1171">
        <v>17</v>
      </c>
      <c r="BG57" s="1171">
        <v>1394</v>
      </c>
      <c r="BH57" s="1171">
        <v>90</v>
      </c>
      <c r="BI57" s="1181">
        <f t="shared" si="2"/>
        <v>1080</v>
      </c>
      <c r="BJ57" s="1171">
        <v>85</v>
      </c>
      <c r="BK57" s="1181">
        <f t="shared" si="3"/>
        <v>1020</v>
      </c>
      <c r="BL57" s="1175">
        <v>2</v>
      </c>
    </row>
    <row r="58" spans="1:65" s="1166" customFormat="1" ht="129.94999999999999" customHeight="1" thickBot="1">
      <c r="A58" s="1204">
        <v>52</v>
      </c>
      <c r="B58" s="1182" t="s">
        <v>1704</v>
      </c>
      <c r="C58" s="1171">
        <v>3193</v>
      </c>
      <c r="D58" s="1180">
        <v>20.428662827895074</v>
      </c>
      <c r="E58" s="1171">
        <v>1405</v>
      </c>
      <c r="F58" s="1193">
        <v>1196</v>
      </c>
      <c r="G58" s="1173">
        <v>11</v>
      </c>
      <c r="H58" s="1173">
        <v>74</v>
      </c>
      <c r="I58" s="1173">
        <v>0</v>
      </c>
      <c r="J58" s="1173">
        <v>1</v>
      </c>
      <c r="K58" s="1173">
        <v>30</v>
      </c>
      <c r="L58" s="1173">
        <v>8</v>
      </c>
      <c r="M58" s="1173">
        <v>0</v>
      </c>
      <c r="N58" s="1173">
        <v>73</v>
      </c>
      <c r="O58" s="1173">
        <v>15</v>
      </c>
      <c r="P58" s="1173">
        <v>86</v>
      </c>
      <c r="Q58" s="1173">
        <v>17</v>
      </c>
      <c r="R58" s="1173">
        <v>143</v>
      </c>
      <c r="S58" s="1173">
        <v>8</v>
      </c>
      <c r="T58" s="1171">
        <v>14</v>
      </c>
      <c r="U58" s="1171">
        <v>0</v>
      </c>
      <c r="V58" s="1171">
        <v>0</v>
      </c>
      <c r="W58" s="1171">
        <v>7</v>
      </c>
      <c r="X58" s="1171">
        <v>148</v>
      </c>
      <c r="Y58" s="1171">
        <v>0</v>
      </c>
      <c r="Z58" s="1171">
        <v>1</v>
      </c>
      <c r="AA58" s="1171">
        <v>12</v>
      </c>
      <c r="AB58" s="1171">
        <v>0</v>
      </c>
      <c r="AC58" s="1171">
        <v>0</v>
      </c>
      <c r="AD58" s="1171">
        <v>21</v>
      </c>
      <c r="AE58" s="1171">
        <v>21</v>
      </c>
      <c r="AF58" s="1171">
        <v>2</v>
      </c>
      <c r="AG58" s="1171">
        <v>0</v>
      </c>
      <c r="AH58" s="1171">
        <v>2</v>
      </c>
      <c r="AI58" s="1171">
        <v>18</v>
      </c>
      <c r="AJ58" s="1171">
        <v>7</v>
      </c>
      <c r="AK58" s="1171">
        <v>0</v>
      </c>
      <c r="AL58" s="1171">
        <v>438</v>
      </c>
      <c r="AM58" s="1171">
        <v>438</v>
      </c>
      <c r="AN58" s="1171">
        <v>27</v>
      </c>
      <c r="AO58" s="1171">
        <v>37</v>
      </c>
      <c r="AP58" s="1171">
        <v>113</v>
      </c>
      <c r="AQ58" s="1171">
        <v>0</v>
      </c>
      <c r="AR58" s="1171">
        <v>12</v>
      </c>
      <c r="AS58" s="1171">
        <v>1</v>
      </c>
      <c r="AT58" s="1171">
        <v>130</v>
      </c>
      <c r="AU58" s="1171">
        <v>4</v>
      </c>
      <c r="AV58" s="1171">
        <v>10</v>
      </c>
      <c r="AW58" s="1171">
        <v>15</v>
      </c>
      <c r="AX58" s="1171">
        <v>0</v>
      </c>
      <c r="AY58" s="1171">
        <v>4</v>
      </c>
      <c r="AZ58" s="1171">
        <v>100</v>
      </c>
      <c r="BA58" s="1171">
        <v>24</v>
      </c>
      <c r="BB58" s="1173">
        <v>2482</v>
      </c>
      <c r="BC58" s="1171">
        <v>205</v>
      </c>
      <c r="BD58" s="1171">
        <v>210</v>
      </c>
      <c r="BE58" s="1171">
        <v>66</v>
      </c>
      <c r="BF58" s="1171">
        <v>108</v>
      </c>
      <c r="BG58" s="1171">
        <v>505</v>
      </c>
      <c r="BH58" s="1171">
        <v>160</v>
      </c>
      <c r="BI58" s="1181">
        <f t="shared" si="2"/>
        <v>1920</v>
      </c>
      <c r="BJ58" s="1171">
        <v>84</v>
      </c>
      <c r="BK58" s="1181">
        <f t="shared" si="3"/>
        <v>1008</v>
      </c>
      <c r="BL58" s="1175">
        <v>2</v>
      </c>
    </row>
    <row r="59" spans="1:65" s="1166" customFormat="1" ht="129.94999999999999" customHeight="1" thickBot="1">
      <c r="A59" s="1204">
        <v>53</v>
      </c>
      <c r="B59" s="1182" t="s">
        <v>1705</v>
      </c>
      <c r="C59" s="1171">
        <v>3473</v>
      </c>
      <c r="D59" s="1180">
        <v>26.108855811156218</v>
      </c>
      <c r="E59" s="1171">
        <v>1562</v>
      </c>
      <c r="F59" s="1193">
        <v>836</v>
      </c>
      <c r="G59" s="1173">
        <v>5</v>
      </c>
      <c r="H59" s="1173">
        <v>88</v>
      </c>
      <c r="I59" s="1173">
        <v>0</v>
      </c>
      <c r="J59" s="1173">
        <v>5</v>
      </c>
      <c r="K59" s="1173">
        <v>41</v>
      </c>
      <c r="L59" s="1173">
        <v>4</v>
      </c>
      <c r="M59" s="1173">
        <v>7</v>
      </c>
      <c r="N59" s="1173">
        <v>80</v>
      </c>
      <c r="O59" s="1173">
        <v>11</v>
      </c>
      <c r="P59" s="1173">
        <v>129</v>
      </c>
      <c r="Q59" s="1173">
        <v>12</v>
      </c>
      <c r="R59" s="1173">
        <v>127</v>
      </c>
      <c r="S59" s="1173">
        <v>17</v>
      </c>
      <c r="T59" s="1171">
        <v>31</v>
      </c>
      <c r="U59" s="1171">
        <v>0</v>
      </c>
      <c r="V59" s="1171">
        <v>0</v>
      </c>
      <c r="W59" s="1171">
        <v>7</v>
      </c>
      <c r="X59" s="1171">
        <v>101</v>
      </c>
      <c r="Y59" s="1171">
        <v>0</v>
      </c>
      <c r="Z59" s="1171">
        <v>6</v>
      </c>
      <c r="AA59" s="1171">
        <v>0</v>
      </c>
      <c r="AB59" s="1171">
        <v>0</v>
      </c>
      <c r="AC59" s="1171">
        <v>0</v>
      </c>
      <c r="AD59" s="1171">
        <v>31</v>
      </c>
      <c r="AE59" s="1171">
        <v>31</v>
      </c>
      <c r="AF59" s="1171">
        <v>1</v>
      </c>
      <c r="AG59" s="1171">
        <v>0</v>
      </c>
      <c r="AH59" s="1171">
        <v>0</v>
      </c>
      <c r="AI59" s="1171">
        <v>26</v>
      </c>
      <c r="AJ59" s="1171">
        <v>5</v>
      </c>
      <c r="AK59" s="1171">
        <v>0</v>
      </c>
      <c r="AL59" s="1171">
        <v>318</v>
      </c>
      <c r="AM59" s="1171">
        <v>295</v>
      </c>
      <c r="AN59" s="1171">
        <v>19</v>
      </c>
      <c r="AO59" s="1171">
        <v>10</v>
      </c>
      <c r="AP59" s="1171">
        <v>69</v>
      </c>
      <c r="AQ59" s="1171">
        <v>0</v>
      </c>
      <c r="AR59" s="1171">
        <v>0</v>
      </c>
      <c r="AS59" s="1171">
        <v>0</v>
      </c>
      <c r="AT59" s="1171">
        <v>86</v>
      </c>
      <c r="AU59" s="1171">
        <v>2</v>
      </c>
      <c r="AV59" s="1171">
        <v>5</v>
      </c>
      <c r="AW59" s="1171">
        <v>9</v>
      </c>
      <c r="AX59" s="1171">
        <v>1</v>
      </c>
      <c r="AY59" s="1171">
        <v>2</v>
      </c>
      <c r="AZ59" s="1171">
        <v>85</v>
      </c>
      <c r="BA59" s="1171">
        <v>27</v>
      </c>
      <c r="BB59" s="1173">
        <v>1476</v>
      </c>
      <c r="BC59" s="1171">
        <v>44</v>
      </c>
      <c r="BD59" s="1171">
        <v>28</v>
      </c>
      <c r="BE59" s="1171">
        <v>25</v>
      </c>
      <c r="BF59" s="1171">
        <v>6</v>
      </c>
      <c r="BG59" s="1171">
        <v>653</v>
      </c>
      <c r="BH59" s="1171">
        <v>163</v>
      </c>
      <c r="BI59" s="1181">
        <f t="shared" si="2"/>
        <v>1956</v>
      </c>
      <c r="BJ59" s="1171">
        <v>261</v>
      </c>
      <c r="BK59" s="1181">
        <f t="shared" si="3"/>
        <v>3132</v>
      </c>
      <c r="BL59" s="1175">
        <v>1</v>
      </c>
    </row>
    <row r="60" spans="1:65" s="1166" customFormat="1" ht="129.94999999999999" customHeight="1" thickBot="1">
      <c r="A60" s="1204">
        <v>54</v>
      </c>
      <c r="B60" s="1182" t="s">
        <v>1706</v>
      </c>
      <c r="C60" s="1171">
        <v>2026</v>
      </c>
      <c r="D60" s="1180">
        <v>22.20030681569143</v>
      </c>
      <c r="E60" s="1171">
        <v>1158</v>
      </c>
      <c r="F60" s="1193">
        <v>543</v>
      </c>
      <c r="G60" s="1173">
        <v>0</v>
      </c>
      <c r="H60" s="1173">
        <v>65</v>
      </c>
      <c r="I60" s="1173">
        <v>0</v>
      </c>
      <c r="J60" s="1173">
        <v>2</v>
      </c>
      <c r="K60" s="1173">
        <v>26</v>
      </c>
      <c r="L60" s="1173">
        <v>0</v>
      </c>
      <c r="M60" s="1173">
        <v>7</v>
      </c>
      <c r="N60" s="1173">
        <v>19</v>
      </c>
      <c r="O60" s="1173">
        <v>26</v>
      </c>
      <c r="P60" s="1173">
        <v>104</v>
      </c>
      <c r="Q60" s="1173">
        <v>0</v>
      </c>
      <c r="R60" s="1173">
        <v>42</v>
      </c>
      <c r="S60" s="1173">
        <v>3</v>
      </c>
      <c r="T60" s="1171">
        <v>0</v>
      </c>
      <c r="U60" s="1171">
        <v>0</v>
      </c>
      <c r="V60" s="1171">
        <v>0</v>
      </c>
      <c r="W60" s="1171">
        <v>1</v>
      </c>
      <c r="X60" s="1171">
        <v>85</v>
      </c>
      <c r="Y60" s="1171">
        <v>0</v>
      </c>
      <c r="Z60" s="1171">
        <v>2</v>
      </c>
      <c r="AA60" s="1171">
        <v>1</v>
      </c>
      <c r="AB60" s="1171">
        <v>0</v>
      </c>
      <c r="AC60" s="1171">
        <v>0</v>
      </c>
      <c r="AD60" s="1171">
        <v>16</v>
      </c>
      <c r="AE60" s="1171">
        <v>0</v>
      </c>
      <c r="AF60" s="1171">
        <v>1</v>
      </c>
      <c r="AG60" s="1171">
        <v>0</v>
      </c>
      <c r="AH60" s="1171">
        <v>0</v>
      </c>
      <c r="AI60" s="1171">
        <v>1</v>
      </c>
      <c r="AJ60" s="1171">
        <v>1</v>
      </c>
      <c r="AK60" s="1171">
        <v>0</v>
      </c>
      <c r="AL60" s="1171">
        <v>315</v>
      </c>
      <c r="AM60" s="1171">
        <v>315</v>
      </c>
      <c r="AN60" s="1171">
        <v>18</v>
      </c>
      <c r="AO60" s="1171">
        <v>0</v>
      </c>
      <c r="AP60" s="1171">
        <v>0</v>
      </c>
      <c r="AQ60" s="1171">
        <v>0</v>
      </c>
      <c r="AR60" s="1171">
        <v>0</v>
      </c>
      <c r="AS60" s="1171">
        <v>0</v>
      </c>
      <c r="AT60" s="1171">
        <v>79</v>
      </c>
      <c r="AU60" s="1171">
        <v>13</v>
      </c>
      <c r="AV60" s="1171">
        <v>5</v>
      </c>
      <c r="AW60" s="1171">
        <v>20</v>
      </c>
      <c r="AX60" s="1171">
        <v>2</v>
      </c>
      <c r="AY60" s="1171">
        <v>6</v>
      </c>
      <c r="AZ60" s="1171">
        <v>66</v>
      </c>
      <c r="BA60" s="1171">
        <v>38</v>
      </c>
      <c r="BB60" s="1173">
        <v>1292</v>
      </c>
      <c r="BC60" s="1171">
        <v>145</v>
      </c>
      <c r="BD60" s="1171">
        <v>107</v>
      </c>
      <c r="BE60" s="1171">
        <v>73</v>
      </c>
      <c r="BF60" s="1171">
        <v>120</v>
      </c>
      <c r="BG60" s="1171">
        <v>2056</v>
      </c>
      <c r="BH60" s="1171">
        <v>91</v>
      </c>
      <c r="BI60" s="1181">
        <f t="shared" si="2"/>
        <v>1092</v>
      </c>
      <c r="BJ60" s="1171">
        <v>105</v>
      </c>
      <c r="BK60" s="1181">
        <f t="shared" si="3"/>
        <v>1260</v>
      </c>
      <c r="BL60" s="1175">
        <v>3</v>
      </c>
    </row>
    <row r="61" spans="1:65" s="1167" customFormat="1" ht="129.94999999999999" customHeight="1" thickBot="1">
      <c r="A61" s="1204">
        <v>55</v>
      </c>
      <c r="B61" s="1170" t="s">
        <v>1707</v>
      </c>
      <c r="C61" s="1171">
        <v>2097</v>
      </c>
      <c r="D61" s="1180">
        <v>24.363889857093064</v>
      </c>
      <c r="E61" s="1171">
        <v>945</v>
      </c>
      <c r="F61" s="1193">
        <v>694</v>
      </c>
      <c r="G61" s="1173">
        <v>4</v>
      </c>
      <c r="H61" s="1173">
        <v>58</v>
      </c>
      <c r="I61" s="1173">
        <v>0</v>
      </c>
      <c r="J61" s="1173">
        <v>1</v>
      </c>
      <c r="K61" s="1173">
        <v>21</v>
      </c>
      <c r="L61" s="1173">
        <v>0</v>
      </c>
      <c r="M61" s="1173">
        <v>2</v>
      </c>
      <c r="N61" s="1173">
        <v>42</v>
      </c>
      <c r="O61" s="1173">
        <v>12</v>
      </c>
      <c r="P61" s="1173">
        <v>39</v>
      </c>
      <c r="Q61" s="1173">
        <v>17</v>
      </c>
      <c r="R61" s="1173">
        <v>937</v>
      </c>
      <c r="S61" s="1173">
        <v>12</v>
      </c>
      <c r="T61" s="1171">
        <v>6</v>
      </c>
      <c r="U61" s="1171">
        <v>0</v>
      </c>
      <c r="V61" s="1171">
        <v>0</v>
      </c>
      <c r="W61" s="1171">
        <v>7</v>
      </c>
      <c r="X61" s="1171">
        <v>135</v>
      </c>
      <c r="Y61" s="1171">
        <v>0</v>
      </c>
      <c r="Z61" s="1171">
        <v>20</v>
      </c>
      <c r="AA61" s="1171">
        <v>13</v>
      </c>
      <c r="AB61" s="1171">
        <v>0</v>
      </c>
      <c r="AC61" s="1171">
        <v>0</v>
      </c>
      <c r="AD61" s="1171">
        <v>24</v>
      </c>
      <c r="AE61" s="1171">
        <v>24</v>
      </c>
      <c r="AF61" s="1171">
        <v>1</v>
      </c>
      <c r="AG61" s="1171">
        <v>0</v>
      </c>
      <c r="AH61" s="1171">
        <v>0</v>
      </c>
      <c r="AI61" s="1171">
        <v>16</v>
      </c>
      <c r="AJ61" s="1171">
        <v>0</v>
      </c>
      <c r="AK61" s="1171">
        <v>0</v>
      </c>
      <c r="AL61" s="1171">
        <v>217</v>
      </c>
      <c r="AM61" s="1171">
        <v>212</v>
      </c>
      <c r="AN61" s="1171">
        <v>0</v>
      </c>
      <c r="AO61" s="1171">
        <v>9</v>
      </c>
      <c r="AP61" s="1171">
        <v>34</v>
      </c>
      <c r="AQ61" s="1171">
        <v>0</v>
      </c>
      <c r="AR61" s="1171">
        <v>0</v>
      </c>
      <c r="AS61" s="1171">
        <v>6</v>
      </c>
      <c r="AT61" s="1171">
        <v>44</v>
      </c>
      <c r="AU61" s="1171">
        <v>1</v>
      </c>
      <c r="AV61" s="1171">
        <v>4</v>
      </c>
      <c r="AW61" s="1171">
        <v>0</v>
      </c>
      <c r="AX61" s="1171">
        <v>2</v>
      </c>
      <c r="AY61" s="1171">
        <v>1</v>
      </c>
      <c r="AZ61" s="1171">
        <v>82</v>
      </c>
      <c r="BA61" s="1171">
        <v>37</v>
      </c>
      <c r="BB61" s="1173">
        <v>524</v>
      </c>
      <c r="BC61" s="1171">
        <v>144</v>
      </c>
      <c r="BD61" s="1171">
        <v>168</v>
      </c>
      <c r="BE61" s="1171">
        <v>74</v>
      </c>
      <c r="BF61" s="1171">
        <v>75</v>
      </c>
      <c r="BG61" s="1171">
        <v>325</v>
      </c>
      <c r="BH61" s="1171">
        <v>235</v>
      </c>
      <c r="BI61" s="1181">
        <f t="shared" si="2"/>
        <v>2820</v>
      </c>
      <c r="BJ61" s="1171">
        <v>442</v>
      </c>
      <c r="BK61" s="1181">
        <f t="shared" si="3"/>
        <v>5304</v>
      </c>
      <c r="BL61" s="1175">
        <v>2</v>
      </c>
      <c r="BM61" s="1166"/>
    </row>
    <row r="62" spans="1:65" s="1166" customFormat="1" ht="129.94999999999999" customHeight="1" thickBot="1">
      <c r="A62" s="1204">
        <v>56</v>
      </c>
      <c r="B62" s="1182" t="s">
        <v>1708</v>
      </c>
      <c r="C62" s="1171">
        <v>1671</v>
      </c>
      <c r="D62" s="1180">
        <v>18.527552943785341</v>
      </c>
      <c r="E62" s="1171">
        <v>857</v>
      </c>
      <c r="F62" s="1193">
        <v>453</v>
      </c>
      <c r="G62" s="1173">
        <v>18</v>
      </c>
      <c r="H62" s="1173">
        <v>43</v>
      </c>
      <c r="I62" s="1173">
        <v>0</v>
      </c>
      <c r="J62" s="1173">
        <v>5</v>
      </c>
      <c r="K62" s="1173">
        <v>16</v>
      </c>
      <c r="L62" s="1173">
        <v>0</v>
      </c>
      <c r="M62" s="1173">
        <v>0</v>
      </c>
      <c r="N62" s="1173">
        <v>22</v>
      </c>
      <c r="O62" s="1173">
        <v>6</v>
      </c>
      <c r="P62" s="1173">
        <v>44</v>
      </c>
      <c r="Q62" s="1173">
        <v>7</v>
      </c>
      <c r="R62" s="1173">
        <v>467</v>
      </c>
      <c r="S62" s="1173">
        <v>1</v>
      </c>
      <c r="T62" s="1171">
        <v>2</v>
      </c>
      <c r="U62" s="1171">
        <v>0</v>
      </c>
      <c r="V62" s="1171">
        <v>0</v>
      </c>
      <c r="W62" s="1171">
        <v>1</v>
      </c>
      <c r="X62" s="1171">
        <v>69</v>
      </c>
      <c r="Y62" s="1171">
        <v>0</v>
      </c>
      <c r="Z62" s="1171">
        <v>12</v>
      </c>
      <c r="AA62" s="1171">
        <v>20</v>
      </c>
      <c r="AB62" s="1171">
        <v>0</v>
      </c>
      <c r="AC62" s="1171">
        <v>0</v>
      </c>
      <c r="AD62" s="1171">
        <v>34</v>
      </c>
      <c r="AE62" s="1171">
        <v>34</v>
      </c>
      <c r="AF62" s="1171">
        <v>2</v>
      </c>
      <c r="AG62" s="1171">
        <v>0</v>
      </c>
      <c r="AH62" s="1171">
        <v>1</v>
      </c>
      <c r="AI62" s="1171">
        <v>3</v>
      </c>
      <c r="AJ62" s="1171">
        <v>1</v>
      </c>
      <c r="AK62" s="1171">
        <v>0</v>
      </c>
      <c r="AL62" s="1171">
        <v>221</v>
      </c>
      <c r="AM62" s="1171">
        <v>221</v>
      </c>
      <c r="AN62" s="1171">
        <v>4</v>
      </c>
      <c r="AO62" s="1171">
        <v>22</v>
      </c>
      <c r="AP62" s="1171">
        <v>58</v>
      </c>
      <c r="AQ62" s="1171">
        <v>0</v>
      </c>
      <c r="AR62" s="1171">
        <v>0</v>
      </c>
      <c r="AS62" s="1171">
        <v>1</v>
      </c>
      <c r="AT62" s="1171">
        <v>90</v>
      </c>
      <c r="AU62" s="1171">
        <v>1</v>
      </c>
      <c r="AV62" s="1171">
        <v>5</v>
      </c>
      <c r="AW62" s="1171">
        <v>6</v>
      </c>
      <c r="AX62" s="1171">
        <v>0</v>
      </c>
      <c r="AY62" s="1171">
        <v>1</v>
      </c>
      <c r="AZ62" s="1171">
        <v>26</v>
      </c>
      <c r="BA62" s="1171">
        <v>17</v>
      </c>
      <c r="BB62" s="1173">
        <v>990</v>
      </c>
      <c r="BC62" s="1171">
        <v>240</v>
      </c>
      <c r="BD62" s="1171">
        <v>388</v>
      </c>
      <c r="BE62" s="1171">
        <v>19</v>
      </c>
      <c r="BF62" s="1171">
        <v>63</v>
      </c>
      <c r="BG62" s="1171">
        <v>3452</v>
      </c>
      <c r="BH62" s="1171">
        <v>49</v>
      </c>
      <c r="BI62" s="1181">
        <f t="shared" si="2"/>
        <v>588</v>
      </c>
      <c r="BJ62" s="1171">
        <v>44</v>
      </c>
      <c r="BK62" s="1181">
        <f t="shared" si="3"/>
        <v>528</v>
      </c>
      <c r="BL62" s="1175">
        <v>2</v>
      </c>
    </row>
    <row r="63" spans="1:65" s="1166" customFormat="1" ht="129.94999999999999" customHeight="1" thickBot="1">
      <c r="A63" s="1204">
        <v>57</v>
      </c>
      <c r="B63" s="1182" t="s">
        <v>1709</v>
      </c>
      <c r="C63" s="1171">
        <v>2150</v>
      </c>
      <c r="D63" s="1180">
        <v>15.587616907126803</v>
      </c>
      <c r="E63" s="1171">
        <v>1436</v>
      </c>
      <c r="F63" s="1193">
        <v>894</v>
      </c>
      <c r="G63" s="1173">
        <v>1</v>
      </c>
      <c r="H63" s="1173">
        <v>60</v>
      </c>
      <c r="I63" s="1173">
        <v>0</v>
      </c>
      <c r="J63" s="1173">
        <v>18</v>
      </c>
      <c r="K63" s="1173">
        <v>39</v>
      </c>
      <c r="L63" s="1173">
        <v>16</v>
      </c>
      <c r="M63" s="1173">
        <v>7</v>
      </c>
      <c r="N63" s="1173">
        <v>63</v>
      </c>
      <c r="O63" s="1173">
        <v>5</v>
      </c>
      <c r="P63" s="1173">
        <v>108</v>
      </c>
      <c r="Q63" s="1173">
        <v>17</v>
      </c>
      <c r="R63" s="1173">
        <v>126</v>
      </c>
      <c r="S63" s="1173">
        <v>17</v>
      </c>
      <c r="T63" s="1171">
        <v>1</v>
      </c>
      <c r="U63" s="1171">
        <v>0</v>
      </c>
      <c r="V63" s="1171">
        <v>0</v>
      </c>
      <c r="W63" s="1171">
        <v>3</v>
      </c>
      <c r="X63" s="1171">
        <v>128</v>
      </c>
      <c r="Y63" s="1171">
        <v>0</v>
      </c>
      <c r="Z63" s="1171">
        <v>25</v>
      </c>
      <c r="AA63" s="1171">
        <v>0</v>
      </c>
      <c r="AB63" s="1171">
        <v>0</v>
      </c>
      <c r="AC63" s="1171">
        <v>0</v>
      </c>
      <c r="AD63" s="1171">
        <v>29</v>
      </c>
      <c r="AE63" s="1171">
        <v>29</v>
      </c>
      <c r="AF63" s="1171">
        <v>2</v>
      </c>
      <c r="AG63" s="1171">
        <v>0</v>
      </c>
      <c r="AH63" s="1171">
        <v>2</v>
      </c>
      <c r="AI63" s="1171">
        <v>19</v>
      </c>
      <c r="AJ63" s="1171">
        <v>0</v>
      </c>
      <c r="AK63" s="1171">
        <v>0</v>
      </c>
      <c r="AL63" s="1171">
        <v>204</v>
      </c>
      <c r="AM63" s="1171">
        <v>204</v>
      </c>
      <c r="AN63" s="1171">
        <v>0</v>
      </c>
      <c r="AO63" s="1171">
        <v>6</v>
      </c>
      <c r="AP63" s="1171">
        <v>20</v>
      </c>
      <c r="AQ63" s="1171">
        <v>0</v>
      </c>
      <c r="AR63" s="1171">
        <v>0</v>
      </c>
      <c r="AS63" s="1171">
        <v>2</v>
      </c>
      <c r="AT63" s="1171">
        <v>49</v>
      </c>
      <c r="AU63" s="1171">
        <v>6</v>
      </c>
      <c r="AV63" s="1171">
        <v>2</v>
      </c>
      <c r="AW63" s="1171">
        <v>9</v>
      </c>
      <c r="AX63" s="1171">
        <v>2</v>
      </c>
      <c r="AY63" s="1171">
        <v>2</v>
      </c>
      <c r="AZ63" s="1171">
        <v>69</v>
      </c>
      <c r="BA63" s="1171">
        <v>22</v>
      </c>
      <c r="BB63" s="1173">
        <v>2690</v>
      </c>
      <c r="BC63" s="1171">
        <v>246</v>
      </c>
      <c r="BD63" s="1171">
        <v>209</v>
      </c>
      <c r="BE63" s="1171">
        <v>2</v>
      </c>
      <c r="BF63" s="1171">
        <v>154</v>
      </c>
      <c r="BG63" s="1171">
        <v>1004</v>
      </c>
      <c r="BH63" s="1171">
        <v>79</v>
      </c>
      <c r="BI63" s="1181">
        <f t="shared" si="2"/>
        <v>948</v>
      </c>
      <c r="BJ63" s="1171">
        <v>15</v>
      </c>
      <c r="BK63" s="1181">
        <f t="shared" si="3"/>
        <v>180</v>
      </c>
      <c r="BL63" s="1175">
        <v>3</v>
      </c>
    </row>
    <row r="64" spans="1:65" s="1166" customFormat="1" ht="129.94999999999999" customHeight="1" thickBot="1">
      <c r="A64" s="1204">
        <v>58</v>
      </c>
      <c r="B64" s="1170" t="s">
        <v>1710</v>
      </c>
      <c r="C64" s="1171">
        <v>634</v>
      </c>
      <c r="D64" s="1180">
        <v>6</v>
      </c>
      <c r="E64" s="1171">
        <v>348</v>
      </c>
      <c r="F64" s="1193">
        <v>292</v>
      </c>
      <c r="G64" s="1173">
        <v>0</v>
      </c>
      <c r="H64" s="1173">
        <v>0</v>
      </c>
      <c r="I64" s="1173">
        <v>0</v>
      </c>
      <c r="J64" s="1173">
        <v>2</v>
      </c>
      <c r="K64" s="1173">
        <v>14</v>
      </c>
      <c r="L64" s="1173">
        <v>1</v>
      </c>
      <c r="M64" s="1173">
        <v>0</v>
      </c>
      <c r="N64" s="1173">
        <v>26</v>
      </c>
      <c r="O64" s="1173">
        <v>9</v>
      </c>
      <c r="P64" s="1173">
        <v>53</v>
      </c>
      <c r="Q64" s="1173">
        <v>14</v>
      </c>
      <c r="R64" s="1173">
        <v>23</v>
      </c>
      <c r="S64" s="1173">
        <v>3</v>
      </c>
      <c r="T64" s="1171">
        <v>0</v>
      </c>
      <c r="U64" s="1171">
        <v>0</v>
      </c>
      <c r="V64" s="1171">
        <v>0</v>
      </c>
      <c r="W64" s="1171">
        <v>3</v>
      </c>
      <c r="X64" s="1171">
        <v>26</v>
      </c>
      <c r="Y64" s="1171">
        <v>0</v>
      </c>
      <c r="Z64" s="1171">
        <v>2</v>
      </c>
      <c r="AA64" s="1171">
        <v>0</v>
      </c>
      <c r="AB64" s="1171">
        <v>0</v>
      </c>
      <c r="AC64" s="1171">
        <v>0</v>
      </c>
      <c r="AD64" s="1171">
        <v>25</v>
      </c>
      <c r="AE64" s="1171">
        <v>25</v>
      </c>
      <c r="AF64" s="1171">
        <v>0</v>
      </c>
      <c r="AG64" s="1171">
        <v>1</v>
      </c>
      <c r="AH64" s="1171">
        <v>0</v>
      </c>
      <c r="AI64" s="1171">
        <v>0</v>
      </c>
      <c r="AJ64" s="1171">
        <v>0</v>
      </c>
      <c r="AK64" s="1171">
        <v>0</v>
      </c>
      <c r="AL64" s="1171">
        <v>0</v>
      </c>
      <c r="AM64" s="1171">
        <v>0</v>
      </c>
      <c r="AN64" s="1171">
        <v>0</v>
      </c>
      <c r="AO64" s="1171">
        <v>0</v>
      </c>
      <c r="AP64" s="1171">
        <v>0</v>
      </c>
      <c r="AQ64" s="1171">
        <v>0</v>
      </c>
      <c r="AR64" s="1171">
        <v>0</v>
      </c>
      <c r="AS64" s="1171">
        <v>0</v>
      </c>
      <c r="AT64" s="1171">
        <v>0</v>
      </c>
      <c r="AU64" s="1171">
        <v>0</v>
      </c>
      <c r="AV64" s="1171">
        <v>0</v>
      </c>
      <c r="AW64" s="1171">
        <v>0</v>
      </c>
      <c r="AX64" s="1171">
        <v>0</v>
      </c>
      <c r="AY64" s="1171">
        <v>0</v>
      </c>
      <c r="AZ64" s="1171">
        <v>0</v>
      </c>
      <c r="BA64" s="1171">
        <v>0</v>
      </c>
      <c r="BB64" s="1173">
        <v>1101</v>
      </c>
      <c r="BC64" s="1171">
        <v>194</v>
      </c>
      <c r="BD64" s="1171">
        <v>87</v>
      </c>
      <c r="BE64" s="1171">
        <v>142</v>
      </c>
      <c r="BF64" s="1171">
        <v>52</v>
      </c>
      <c r="BG64" s="1171">
        <v>563</v>
      </c>
      <c r="BH64" s="1171">
        <v>75</v>
      </c>
      <c r="BI64" s="1181">
        <f t="shared" si="2"/>
        <v>900</v>
      </c>
      <c r="BJ64" s="1171">
        <v>15</v>
      </c>
      <c r="BK64" s="1181">
        <f t="shared" si="3"/>
        <v>180</v>
      </c>
      <c r="BL64" s="1175">
        <v>1</v>
      </c>
    </row>
    <row r="65" spans="1:64" s="1166" customFormat="1" ht="129.94999999999999" customHeight="1" thickBot="1">
      <c r="A65" s="1204">
        <v>59</v>
      </c>
      <c r="B65" s="1182" t="s">
        <v>1711</v>
      </c>
      <c r="C65" s="1171">
        <v>1965</v>
      </c>
      <c r="D65" s="1180">
        <v>15</v>
      </c>
      <c r="E65" s="1171">
        <v>1093</v>
      </c>
      <c r="F65" s="1193">
        <v>655</v>
      </c>
      <c r="G65" s="1173">
        <v>19</v>
      </c>
      <c r="H65" s="1173">
        <v>4</v>
      </c>
      <c r="I65" s="1173">
        <v>0</v>
      </c>
      <c r="J65" s="1173">
        <v>3</v>
      </c>
      <c r="K65" s="1173">
        <v>39</v>
      </c>
      <c r="L65" s="1173">
        <v>0</v>
      </c>
      <c r="M65" s="1173">
        <v>1</v>
      </c>
      <c r="N65" s="1173">
        <v>95</v>
      </c>
      <c r="O65" s="1173">
        <v>0</v>
      </c>
      <c r="P65" s="1173">
        <v>87</v>
      </c>
      <c r="Q65" s="1173">
        <v>0</v>
      </c>
      <c r="R65" s="1173">
        <v>133</v>
      </c>
      <c r="S65" s="1173">
        <v>2</v>
      </c>
      <c r="T65" s="1171">
        <v>9</v>
      </c>
      <c r="U65" s="1171">
        <v>0</v>
      </c>
      <c r="V65" s="1171">
        <v>6</v>
      </c>
      <c r="W65" s="1171">
        <v>26</v>
      </c>
      <c r="X65" s="1171">
        <v>87</v>
      </c>
      <c r="Y65" s="1171">
        <v>0</v>
      </c>
      <c r="Z65" s="1171">
        <v>14</v>
      </c>
      <c r="AA65" s="1171">
        <v>142</v>
      </c>
      <c r="AB65" s="1171">
        <v>0</v>
      </c>
      <c r="AC65" s="1171">
        <v>0</v>
      </c>
      <c r="AD65" s="1171">
        <v>0</v>
      </c>
      <c r="AE65" s="1171">
        <v>0</v>
      </c>
      <c r="AF65" s="1171">
        <v>0</v>
      </c>
      <c r="AG65" s="1171">
        <v>0</v>
      </c>
      <c r="AH65" s="1171">
        <v>0</v>
      </c>
      <c r="AI65" s="1171">
        <v>8</v>
      </c>
      <c r="AJ65" s="1171">
        <v>2</v>
      </c>
      <c r="AK65" s="1171">
        <v>0</v>
      </c>
      <c r="AL65" s="1171">
        <v>184</v>
      </c>
      <c r="AM65" s="1171">
        <v>149</v>
      </c>
      <c r="AN65" s="1171">
        <v>0</v>
      </c>
      <c r="AO65" s="1171">
        <v>8</v>
      </c>
      <c r="AP65" s="1171">
        <v>25</v>
      </c>
      <c r="AQ65" s="1171">
        <v>0</v>
      </c>
      <c r="AR65" s="1171">
        <v>0</v>
      </c>
      <c r="AS65" s="1171">
        <v>0</v>
      </c>
      <c r="AT65" s="1171">
        <v>34</v>
      </c>
      <c r="AU65" s="1171">
        <v>0</v>
      </c>
      <c r="AV65" s="1171">
        <v>4</v>
      </c>
      <c r="AW65" s="1171">
        <v>9</v>
      </c>
      <c r="AX65" s="1171">
        <v>1</v>
      </c>
      <c r="AY65" s="1171">
        <v>4</v>
      </c>
      <c r="AZ65" s="1171">
        <v>63</v>
      </c>
      <c r="BA65" s="1171">
        <v>8</v>
      </c>
      <c r="BB65" s="1173">
        <v>631</v>
      </c>
      <c r="BC65" s="1171">
        <v>149</v>
      </c>
      <c r="BD65" s="1171">
        <v>324</v>
      </c>
      <c r="BE65" s="1171">
        <v>117</v>
      </c>
      <c r="BF65" s="1171">
        <v>113</v>
      </c>
      <c r="BG65" s="1171">
        <v>1159</v>
      </c>
      <c r="BH65" s="1171">
        <v>30</v>
      </c>
      <c r="BI65" s="1181">
        <f t="shared" si="2"/>
        <v>360</v>
      </c>
      <c r="BJ65" s="1171">
        <v>336</v>
      </c>
      <c r="BK65" s="1181">
        <f t="shared" si="3"/>
        <v>4032</v>
      </c>
      <c r="BL65" s="1175">
        <v>2.9</v>
      </c>
    </row>
    <row r="66" spans="1:64" s="1166" customFormat="1" ht="129.94999999999999" customHeight="1" thickBot="1">
      <c r="A66" s="1204">
        <v>60</v>
      </c>
      <c r="B66" s="1182" t="s">
        <v>1712</v>
      </c>
      <c r="C66" s="1171">
        <v>960</v>
      </c>
      <c r="D66" s="1180">
        <v>9.8461538461538467</v>
      </c>
      <c r="E66" s="1171">
        <v>540</v>
      </c>
      <c r="F66" s="1193">
        <v>471</v>
      </c>
      <c r="G66" s="1173">
        <v>0</v>
      </c>
      <c r="H66" s="1173">
        <v>0</v>
      </c>
      <c r="I66" s="1173">
        <v>0</v>
      </c>
      <c r="J66" s="1173">
        <v>25</v>
      </c>
      <c r="K66" s="1173">
        <v>8</v>
      </c>
      <c r="L66" s="1173">
        <v>0</v>
      </c>
      <c r="M66" s="1173">
        <v>0</v>
      </c>
      <c r="N66" s="1173">
        <v>37</v>
      </c>
      <c r="O66" s="1173">
        <v>21</v>
      </c>
      <c r="P66" s="1173">
        <v>71</v>
      </c>
      <c r="Q66" s="1173">
        <v>0</v>
      </c>
      <c r="R66" s="1173">
        <v>49</v>
      </c>
      <c r="S66" s="1173">
        <v>2</v>
      </c>
      <c r="T66" s="1171">
        <v>0</v>
      </c>
      <c r="U66" s="1171">
        <v>0</v>
      </c>
      <c r="V66" s="1171">
        <v>0</v>
      </c>
      <c r="W66" s="1171">
        <v>2</v>
      </c>
      <c r="X66" s="1171">
        <v>41</v>
      </c>
      <c r="Y66" s="1171">
        <v>0</v>
      </c>
      <c r="Z66" s="1171">
        <v>2</v>
      </c>
      <c r="AA66" s="1171">
        <v>0</v>
      </c>
      <c r="AB66" s="1171">
        <v>0</v>
      </c>
      <c r="AC66" s="1171">
        <v>0</v>
      </c>
      <c r="AD66" s="1171">
        <v>0</v>
      </c>
      <c r="AE66" s="1171">
        <v>0</v>
      </c>
      <c r="AF66" s="1171">
        <v>0</v>
      </c>
      <c r="AG66" s="1171">
        <v>0</v>
      </c>
      <c r="AH66" s="1171">
        <v>1</v>
      </c>
      <c r="AI66" s="1171">
        <v>7</v>
      </c>
      <c r="AJ66" s="1171">
        <v>1</v>
      </c>
      <c r="AK66" s="1171">
        <v>0</v>
      </c>
      <c r="AL66" s="1171">
        <v>268</v>
      </c>
      <c r="AM66" s="1171">
        <v>268</v>
      </c>
      <c r="AN66" s="1171">
        <v>22</v>
      </c>
      <c r="AO66" s="1171">
        <v>52</v>
      </c>
      <c r="AP66" s="1171">
        <v>106</v>
      </c>
      <c r="AQ66" s="1171">
        <v>0</v>
      </c>
      <c r="AR66" s="1171">
        <v>0</v>
      </c>
      <c r="AS66" s="1171">
        <v>0</v>
      </c>
      <c r="AT66" s="1171">
        <v>30</v>
      </c>
      <c r="AU66" s="1171">
        <v>7</v>
      </c>
      <c r="AV66" s="1171">
        <v>12</v>
      </c>
      <c r="AW66" s="1171">
        <v>28</v>
      </c>
      <c r="AX66" s="1171">
        <v>2</v>
      </c>
      <c r="AY66" s="1171">
        <v>10</v>
      </c>
      <c r="AZ66" s="1171">
        <v>41</v>
      </c>
      <c r="BA66" s="1171">
        <v>85</v>
      </c>
      <c r="BB66" s="1173">
        <v>486</v>
      </c>
      <c r="BC66" s="1171">
        <v>200</v>
      </c>
      <c r="BD66" s="1171">
        <v>60</v>
      </c>
      <c r="BE66" s="1171">
        <v>130</v>
      </c>
      <c r="BF66" s="1171">
        <v>10</v>
      </c>
      <c r="BG66" s="1171">
        <v>66</v>
      </c>
      <c r="BH66" s="1171">
        <v>57</v>
      </c>
      <c r="BI66" s="1181">
        <f t="shared" si="2"/>
        <v>684</v>
      </c>
      <c r="BJ66" s="1171">
        <v>10</v>
      </c>
      <c r="BK66" s="1181">
        <f t="shared" si="3"/>
        <v>120</v>
      </c>
      <c r="BL66" s="1175">
        <v>1.5</v>
      </c>
    </row>
    <row r="67" spans="1:64" s="1166" customFormat="1" ht="129.94999999999999" customHeight="1" thickBot="1">
      <c r="A67" s="1204">
        <v>61</v>
      </c>
      <c r="B67" s="1170" t="s">
        <v>1713</v>
      </c>
      <c r="C67" s="1171">
        <v>1032</v>
      </c>
      <c r="D67" s="1180">
        <v>18.143459915611814</v>
      </c>
      <c r="E67" s="1171">
        <v>672</v>
      </c>
      <c r="F67" s="1193">
        <v>404</v>
      </c>
      <c r="G67" s="1173">
        <v>19</v>
      </c>
      <c r="H67" s="1173">
        <v>10</v>
      </c>
      <c r="I67" s="1173">
        <v>0</v>
      </c>
      <c r="J67" s="1173">
        <v>6</v>
      </c>
      <c r="K67" s="1173">
        <v>26</v>
      </c>
      <c r="L67" s="1173">
        <v>0</v>
      </c>
      <c r="M67" s="1173">
        <v>1</v>
      </c>
      <c r="N67" s="1173">
        <v>68</v>
      </c>
      <c r="O67" s="1173">
        <v>10</v>
      </c>
      <c r="P67" s="1173">
        <v>99</v>
      </c>
      <c r="Q67" s="1173">
        <v>0</v>
      </c>
      <c r="R67" s="1173">
        <v>124</v>
      </c>
      <c r="S67" s="1173">
        <v>2</v>
      </c>
      <c r="T67" s="1171">
        <v>8</v>
      </c>
      <c r="U67" s="1171">
        <v>0</v>
      </c>
      <c r="V67" s="1171">
        <v>1</v>
      </c>
      <c r="W67" s="1171">
        <v>1</v>
      </c>
      <c r="X67" s="1171">
        <v>55</v>
      </c>
      <c r="Y67" s="1171">
        <v>0</v>
      </c>
      <c r="Z67" s="1171">
        <v>4</v>
      </c>
      <c r="AA67" s="1171">
        <v>6</v>
      </c>
      <c r="AB67" s="1171">
        <v>0</v>
      </c>
      <c r="AC67" s="1171">
        <v>0</v>
      </c>
      <c r="AD67" s="1171">
        <v>0</v>
      </c>
      <c r="AE67" s="1171">
        <v>0</v>
      </c>
      <c r="AF67" s="1171">
        <v>1</v>
      </c>
      <c r="AG67" s="1171">
        <v>0</v>
      </c>
      <c r="AH67" s="1171">
        <v>0</v>
      </c>
      <c r="AI67" s="1171">
        <v>7</v>
      </c>
      <c r="AJ67" s="1171">
        <v>0</v>
      </c>
      <c r="AK67" s="1171">
        <v>0</v>
      </c>
      <c r="AL67" s="1171">
        <v>0</v>
      </c>
      <c r="AM67" s="1171">
        <v>0</v>
      </c>
      <c r="AN67" s="1171">
        <v>0</v>
      </c>
      <c r="AO67" s="1171">
        <v>0</v>
      </c>
      <c r="AP67" s="1171">
        <v>0</v>
      </c>
      <c r="AQ67" s="1171">
        <v>0</v>
      </c>
      <c r="AR67" s="1171">
        <v>0</v>
      </c>
      <c r="AS67" s="1171">
        <v>0</v>
      </c>
      <c r="AT67" s="1171">
        <v>0</v>
      </c>
      <c r="AU67" s="1171">
        <v>0</v>
      </c>
      <c r="AV67" s="1171">
        <v>0</v>
      </c>
      <c r="AW67" s="1171">
        <v>0</v>
      </c>
      <c r="AX67" s="1171">
        <v>0</v>
      </c>
      <c r="AY67" s="1171">
        <v>0</v>
      </c>
      <c r="AZ67" s="1171">
        <v>0</v>
      </c>
      <c r="BA67" s="1171">
        <v>0</v>
      </c>
      <c r="BB67" s="1173">
        <v>1454</v>
      </c>
      <c r="BC67" s="1171">
        <v>69</v>
      </c>
      <c r="BD67" s="1171">
        <v>198</v>
      </c>
      <c r="BE67" s="1171">
        <v>46</v>
      </c>
      <c r="BF67" s="1171">
        <v>27</v>
      </c>
      <c r="BG67" s="1171">
        <v>694</v>
      </c>
      <c r="BH67" s="1171">
        <v>211</v>
      </c>
      <c r="BI67" s="1181">
        <f t="shared" si="2"/>
        <v>2532</v>
      </c>
      <c r="BJ67" s="1171">
        <v>25</v>
      </c>
      <c r="BK67" s="1181">
        <f t="shared" si="3"/>
        <v>300</v>
      </c>
      <c r="BL67" s="1175">
        <v>0</v>
      </c>
    </row>
    <row r="68" spans="1:64" s="1166" customFormat="1" ht="129.94999999999999" customHeight="1" thickBot="1">
      <c r="A68" s="1204">
        <v>62</v>
      </c>
      <c r="B68" s="1182" t="s">
        <v>1714</v>
      </c>
      <c r="C68" s="1171">
        <v>1793</v>
      </c>
      <c r="D68" s="1180">
        <v>29.92323097463284</v>
      </c>
      <c r="E68" s="1171">
        <v>830</v>
      </c>
      <c r="F68" s="1193">
        <v>293</v>
      </c>
      <c r="G68" s="1173">
        <v>5</v>
      </c>
      <c r="H68" s="1173">
        <v>29</v>
      </c>
      <c r="I68" s="1173">
        <v>0</v>
      </c>
      <c r="J68" s="1173">
        <v>5</v>
      </c>
      <c r="K68" s="1173">
        <v>17</v>
      </c>
      <c r="L68" s="1173">
        <v>0</v>
      </c>
      <c r="M68" s="1173">
        <v>1</v>
      </c>
      <c r="N68" s="1173">
        <v>31</v>
      </c>
      <c r="O68" s="1173">
        <v>5</v>
      </c>
      <c r="P68" s="1173">
        <v>52</v>
      </c>
      <c r="Q68" s="1173">
        <v>0</v>
      </c>
      <c r="R68" s="1173">
        <v>22</v>
      </c>
      <c r="S68" s="1173">
        <v>2</v>
      </c>
      <c r="T68" s="1171">
        <v>5</v>
      </c>
      <c r="U68" s="1171">
        <v>0</v>
      </c>
      <c r="V68" s="1171">
        <v>0</v>
      </c>
      <c r="W68" s="1171">
        <v>26</v>
      </c>
      <c r="X68" s="1171">
        <v>67</v>
      </c>
      <c r="Y68" s="1171">
        <v>0</v>
      </c>
      <c r="Z68" s="1171">
        <v>0</v>
      </c>
      <c r="AA68" s="1171">
        <v>0</v>
      </c>
      <c r="AB68" s="1171">
        <v>0</v>
      </c>
      <c r="AC68" s="1171">
        <v>0</v>
      </c>
      <c r="AD68" s="1171">
        <v>0</v>
      </c>
      <c r="AE68" s="1171">
        <v>0</v>
      </c>
      <c r="AF68" s="1171">
        <v>0</v>
      </c>
      <c r="AG68" s="1171">
        <v>0</v>
      </c>
      <c r="AH68" s="1171">
        <v>0</v>
      </c>
      <c r="AI68" s="1171">
        <v>0</v>
      </c>
      <c r="AJ68" s="1171">
        <v>0</v>
      </c>
      <c r="AK68" s="1171">
        <v>0</v>
      </c>
      <c r="AL68" s="1171">
        <v>123</v>
      </c>
      <c r="AM68" s="1171">
        <v>123</v>
      </c>
      <c r="AN68" s="1171">
        <v>0</v>
      </c>
      <c r="AO68" s="1171">
        <v>2</v>
      </c>
      <c r="AP68" s="1171">
        <v>19</v>
      </c>
      <c r="AQ68" s="1171">
        <v>0</v>
      </c>
      <c r="AR68" s="1171">
        <v>0</v>
      </c>
      <c r="AS68" s="1171">
        <v>0</v>
      </c>
      <c r="AT68" s="1171">
        <v>15</v>
      </c>
      <c r="AU68" s="1171">
        <v>1</v>
      </c>
      <c r="AV68" s="1171">
        <v>3</v>
      </c>
      <c r="AW68" s="1171">
        <v>4</v>
      </c>
      <c r="AX68" s="1171">
        <v>2</v>
      </c>
      <c r="AY68" s="1171">
        <v>0</v>
      </c>
      <c r="AZ68" s="1171">
        <v>56</v>
      </c>
      <c r="BA68" s="1171">
        <v>18</v>
      </c>
      <c r="BB68" s="1173">
        <v>1583</v>
      </c>
      <c r="BC68" s="1171">
        <v>66</v>
      </c>
      <c r="BD68" s="1171">
        <v>58</v>
      </c>
      <c r="BE68" s="1171">
        <v>58</v>
      </c>
      <c r="BF68" s="1171">
        <v>56</v>
      </c>
      <c r="BG68" s="1171">
        <v>363</v>
      </c>
      <c r="BH68" s="1171">
        <v>94</v>
      </c>
      <c r="BI68" s="1181">
        <f t="shared" si="2"/>
        <v>1128</v>
      </c>
      <c r="BJ68" s="1171">
        <v>10</v>
      </c>
      <c r="BK68" s="1181">
        <f t="shared" si="3"/>
        <v>120</v>
      </c>
      <c r="BL68" s="1175">
        <v>2.5</v>
      </c>
    </row>
    <row r="69" spans="1:64" s="1166" customFormat="1" ht="129.94999999999999" customHeight="1" thickBot="1">
      <c r="A69" s="1204">
        <v>63</v>
      </c>
      <c r="B69" s="1170" t="s">
        <v>1715</v>
      </c>
      <c r="C69" s="1171">
        <v>571</v>
      </c>
      <c r="D69" s="1180">
        <v>10.475142175747569</v>
      </c>
      <c r="E69" s="1171">
        <v>320</v>
      </c>
      <c r="F69" s="1193">
        <v>282</v>
      </c>
      <c r="G69" s="1173">
        <v>0</v>
      </c>
      <c r="H69" s="1173">
        <v>9</v>
      </c>
      <c r="I69" s="1173">
        <v>0</v>
      </c>
      <c r="J69" s="1173">
        <v>15</v>
      </c>
      <c r="K69" s="1173">
        <v>5</v>
      </c>
      <c r="L69" s="1173">
        <v>0</v>
      </c>
      <c r="M69" s="1173">
        <v>0</v>
      </c>
      <c r="N69" s="1173">
        <v>24</v>
      </c>
      <c r="O69" s="1173">
        <v>12</v>
      </c>
      <c r="P69" s="1173">
        <v>47</v>
      </c>
      <c r="Q69" s="1173">
        <v>0</v>
      </c>
      <c r="R69" s="1173">
        <v>15</v>
      </c>
      <c r="S69" s="1173">
        <v>5</v>
      </c>
      <c r="T69" s="1171">
        <v>0</v>
      </c>
      <c r="U69" s="1171">
        <v>0</v>
      </c>
      <c r="V69" s="1171">
        <v>0</v>
      </c>
      <c r="W69" s="1171">
        <v>4</v>
      </c>
      <c r="X69" s="1171">
        <v>0</v>
      </c>
      <c r="Y69" s="1171">
        <v>0</v>
      </c>
      <c r="Z69" s="1171">
        <v>0</v>
      </c>
      <c r="AA69" s="1171">
        <v>0</v>
      </c>
      <c r="AB69" s="1171">
        <v>0</v>
      </c>
      <c r="AC69" s="1171">
        <v>0</v>
      </c>
      <c r="AD69" s="1171">
        <v>0</v>
      </c>
      <c r="AE69" s="1171">
        <v>0</v>
      </c>
      <c r="AF69" s="1171">
        <v>1</v>
      </c>
      <c r="AG69" s="1171">
        <v>0</v>
      </c>
      <c r="AH69" s="1171">
        <v>0</v>
      </c>
      <c r="AI69" s="1171">
        <v>0</v>
      </c>
      <c r="AJ69" s="1171">
        <v>0</v>
      </c>
      <c r="AK69" s="1171">
        <v>0</v>
      </c>
      <c r="AL69" s="1171">
        <v>0</v>
      </c>
      <c r="AM69" s="1171">
        <v>0</v>
      </c>
      <c r="AN69" s="1171">
        <v>0</v>
      </c>
      <c r="AO69" s="1171">
        <v>0</v>
      </c>
      <c r="AP69" s="1171">
        <v>0</v>
      </c>
      <c r="AQ69" s="1171">
        <v>0</v>
      </c>
      <c r="AR69" s="1171">
        <v>0</v>
      </c>
      <c r="AS69" s="1171">
        <v>0</v>
      </c>
      <c r="AT69" s="1171">
        <v>0</v>
      </c>
      <c r="AU69" s="1171">
        <v>0</v>
      </c>
      <c r="AV69" s="1171">
        <v>0</v>
      </c>
      <c r="AW69" s="1171">
        <v>0</v>
      </c>
      <c r="AX69" s="1171">
        <v>0</v>
      </c>
      <c r="AY69" s="1171">
        <v>0</v>
      </c>
      <c r="AZ69" s="1171">
        <v>0</v>
      </c>
      <c r="BA69" s="1171">
        <v>0</v>
      </c>
      <c r="BB69" s="1173">
        <v>416</v>
      </c>
      <c r="BC69" s="1171">
        <v>72</v>
      </c>
      <c r="BD69" s="1171">
        <v>46</v>
      </c>
      <c r="BE69" s="1171">
        <v>5</v>
      </c>
      <c r="BF69" s="1171">
        <v>40</v>
      </c>
      <c r="BG69" s="1171">
        <v>40</v>
      </c>
      <c r="BH69" s="1171">
        <v>36</v>
      </c>
      <c r="BI69" s="1181">
        <f t="shared" si="2"/>
        <v>432</v>
      </c>
      <c r="BJ69" s="1171">
        <v>28</v>
      </c>
      <c r="BK69" s="1181">
        <f t="shared" si="3"/>
        <v>336</v>
      </c>
      <c r="BL69" s="1175">
        <v>0.9</v>
      </c>
    </row>
    <row r="70" spans="1:64" s="1166" customFormat="1" ht="129.94999999999999" customHeight="1" thickBot="1">
      <c r="A70" s="1204">
        <v>64</v>
      </c>
      <c r="B70" s="1182" t="s">
        <v>1716</v>
      </c>
      <c r="C70" s="1181">
        <v>437</v>
      </c>
      <c r="D70" s="1183">
        <v>9.5</v>
      </c>
      <c r="E70" s="1181">
        <v>256</v>
      </c>
      <c r="F70" s="1194">
        <v>511</v>
      </c>
      <c r="G70" s="1184">
        <v>0</v>
      </c>
      <c r="H70" s="1184">
        <v>0</v>
      </c>
      <c r="I70" s="1184">
        <v>0</v>
      </c>
      <c r="J70" s="1184">
        <v>15</v>
      </c>
      <c r="K70" s="1184">
        <v>1</v>
      </c>
      <c r="L70" s="1184">
        <v>0</v>
      </c>
      <c r="M70" s="1184">
        <v>0</v>
      </c>
      <c r="N70" s="1184">
        <v>16</v>
      </c>
      <c r="O70" s="1184">
        <v>11</v>
      </c>
      <c r="P70" s="1184">
        <v>34</v>
      </c>
      <c r="Q70" s="1184">
        <v>0</v>
      </c>
      <c r="R70" s="1184">
        <v>1</v>
      </c>
      <c r="S70" s="1184">
        <v>4</v>
      </c>
      <c r="T70" s="1181">
        <v>0</v>
      </c>
      <c r="U70" s="1181">
        <v>0</v>
      </c>
      <c r="V70" s="1181">
        <v>0</v>
      </c>
      <c r="W70" s="1181">
        <v>0</v>
      </c>
      <c r="X70" s="1181">
        <v>9</v>
      </c>
      <c r="Y70" s="1181">
        <v>0</v>
      </c>
      <c r="Z70" s="1181">
        <v>0</v>
      </c>
      <c r="AA70" s="1181">
        <v>0</v>
      </c>
      <c r="AB70" s="1181">
        <v>0</v>
      </c>
      <c r="AC70" s="1181">
        <v>1</v>
      </c>
      <c r="AD70" s="1181">
        <v>0</v>
      </c>
      <c r="AE70" s="1181">
        <v>0</v>
      </c>
      <c r="AF70" s="1181">
        <v>0</v>
      </c>
      <c r="AG70" s="1181">
        <v>0</v>
      </c>
      <c r="AH70" s="1181">
        <v>0</v>
      </c>
      <c r="AI70" s="1181">
        <v>0</v>
      </c>
      <c r="AJ70" s="1181">
        <v>0</v>
      </c>
      <c r="AK70" s="1181">
        <v>0</v>
      </c>
      <c r="AL70" s="1171">
        <v>0</v>
      </c>
      <c r="AM70" s="1181">
        <v>0</v>
      </c>
      <c r="AN70" s="1181">
        <v>0</v>
      </c>
      <c r="AO70" s="1181">
        <v>0</v>
      </c>
      <c r="AP70" s="1181">
        <v>0</v>
      </c>
      <c r="AQ70" s="1181">
        <v>0</v>
      </c>
      <c r="AR70" s="1181">
        <v>0</v>
      </c>
      <c r="AS70" s="1181">
        <v>0</v>
      </c>
      <c r="AT70" s="1181">
        <v>0</v>
      </c>
      <c r="AU70" s="1181">
        <v>0</v>
      </c>
      <c r="AV70" s="1181">
        <v>0</v>
      </c>
      <c r="AW70" s="1181">
        <v>0</v>
      </c>
      <c r="AX70" s="1181">
        <v>0</v>
      </c>
      <c r="AY70" s="1181">
        <v>0</v>
      </c>
      <c r="AZ70" s="1181">
        <v>0</v>
      </c>
      <c r="BA70" s="1181">
        <v>0</v>
      </c>
      <c r="BB70" s="1184">
        <v>401</v>
      </c>
      <c r="BC70" s="1181">
        <v>74</v>
      </c>
      <c r="BD70" s="1181">
        <v>72</v>
      </c>
      <c r="BE70" s="1181">
        <v>16</v>
      </c>
      <c r="BF70" s="1181">
        <v>10</v>
      </c>
      <c r="BG70" s="1181">
        <v>114</v>
      </c>
      <c r="BH70" s="1181">
        <v>45</v>
      </c>
      <c r="BI70" s="1181">
        <f t="shared" si="2"/>
        <v>540</v>
      </c>
      <c r="BJ70" s="1181">
        <v>16</v>
      </c>
      <c r="BK70" s="1181">
        <f t="shared" si="3"/>
        <v>192</v>
      </c>
      <c r="BL70" s="1185">
        <v>1</v>
      </c>
    </row>
    <row r="71" spans="1:64" s="1166" customFormat="1" ht="129.94999999999999" customHeight="1" thickBot="1">
      <c r="A71" s="1204">
        <v>65</v>
      </c>
      <c r="B71" s="1170" t="s">
        <v>1717</v>
      </c>
      <c r="C71" s="1171">
        <v>216</v>
      </c>
      <c r="D71" s="1180">
        <v>9.8720292504570395</v>
      </c>
      <c r="E71" s="1171">
        <v>152</v>
      </c>
      <c r="F71" s="1193">
        <v>116</v>
      </c>
      <c r="G71" s="1173">
        <v>0</v>
      </c>
      <c r="H71" s="1173">
        <v>0</v>
      </c>
      <c r="I71" s="1173">
        <v>0</v>
      </c>
      <c r="J71" s="1173">
        <v>2</v>
      </c>
      <c r="K71" s="1173">
        <v>7</v>
      </c>
      <c r="L71" s="1173">
        <v>0</v>
      </c>
      <c r="M71" s="1173">
        <v>0</v>
      </c>
      <c r="N71" s="1173">
        <v>3</v>
      </c>
      <c r="O71" s="1173">
        <v>6</v>
      </c>
      <c r="P71" s="1173">
        <v>20</v>
      </c>
      <c r="Q71" s="1173">
        <v>0</v>
      </c>
      <c r="R71" s="1173">
        <v>1</v>
      </c>
      <c r="S71" s="1173">
        <v>0</v>
      </c>
      <c r="T71" s="1171">
        <v>8</v>
      </c>
      <c r="U71" s="1171">
        <v>0</v>
      </c>
      <c r="V71" s="1171">
        <v>0</v>
      </c>
      <c r="W71" s="1171">
        <v>10</v>
      </c>
      <c r="X71" s="1171">
        <v>1</v>
      </c>
      <c r="Y71" s="1171">
        <v>0</v>
      </c>
      <c r="Z71" s="1171">
        <v>0</v>
      </c>
      <c r="AA71" s="1171">
        <v>0</v>
      </c>
      <c r="AB71" s="1171">
        <v>0</v>
      </c>
      <c r="AC71" s="1171">
        <v>0</v>
      </c>
      <c r="AD71" s="1171">
        <v>0</v>
      </c>
      <c r="AE71" s="1171">
        <v>0</v>
      </c>
      <c r="AF71" s="1171">
        <v>0</v>
      </c>
      <c r="AG71" s="1171">
        <v>0</v>
      </c>
      <c r="AH71" s="1171">
        <v>0</v>
      </c>
      <c r="AI71" s="1171">
        <v>3</v>
      </c>
      <c r="AJ71" s="1171">
        <v>1</v>
      </c>
      <c r="AK71" s="1171">
        <v>0</v>
      </c>
      <c r="AL71" s="1171">
        <v>0</v>
      </c>
      <c r="AM71" s="1171">
        <v>0</v>
      </c>
      <c r="AN71" s="1171">
        <v>0</v>
      </c>
      <c r="AO71" s="1171">
        <v>0</v>
      </c>
      <c r="AP71" s="1171">
        <v>0</v>
      </c>
      <c r="AQ71" s="1171">
        <v>0</v>
      </c>
      <c r="AR71" s="1171">
        <v>0</v>
      </c>
      <c r="AS71" s="1171">
        <v>0</v>
      </c>
      <c r="AT71" s="1171">
        <v>0</v>
      </c>
      <c r="AU71" s="1171">
        <v>0</v>
      </c>
      <c r="AV71" s="1171">
        <v>0</v>
      </c>
      <c r="AW71" s="1171">
        <v>0</v>
      </c>
      <c r="AX71" s="1171">
        <v>0</v>
      </c>
      <c r="AY71" s="1171">
        <v>0</v>
      </c>
      <c r="AZ71" s="1171">
        <v>0</v>
      </c>
      <c r="BA71" s="1171">
        <v>0</v>
      </c>
      <c r="BB71" s="1173">
        <v>141</v>
      </c>
      <c r="BC71" s="1171">
        <v>36</v>
      </c>
      <c r="BD71" s="1171">
        <v>31</v>
      </c>
      <c r="BE71" s="1171">
        <v>14</v>
      </c>
      <c r="BF71" s="1171">
        <v>18</v>
      </c>
      <c r="BG71" s="1171">
        <v>183</v>
      </c>
      <c r="BH71" s="1171">
        <v>9</v>
      </c>
      <c r="BI71" s="1181">
        <f t="shared" si="2"/>
        <v>108</v>
      </c>
      <c r="BJ71" s="1171">
        <v>10</v>
      </c>
      <c r="BK71" s="1181">
        <f t="shared" si="3"/>
        <v>120</v>
      </c>
      <c r="BL71" s="1175">
        <v>0</v>
      </c>
    </row>
    <row r="72" spans="1:64" ht="188.25" customHeight="1">
      <c r="D72" s="1169"/>
    </row>
    <row r="78" spans="1:64" ht="15" customHeight="1">
      <c r="D78" s="134"/>
    </row>
    <row r="79" spans="1:64">
      <c r="D79" s="134"/>
    </row>
    <row r="80" spans="1:64">
      <c r="D80" s="134"/>
    </row>
    <row r="81" spans="4:4">
      <c r="D81" s="134"/>
    </row>
    <row r="82" spans="4:4">
      <c r="D82" s="134"/>
    </row>
    <row r="83" spans="4:4">
      <c r="D83" s="134"/>
    </row>
    <row r="84" spans="4:4">
      <c r="D84" s="134"/>
    </row>
    <row r="85" spans="4:4">
      <c r="D85" s="134"/>
    </row>
    <row r="86" spans="4:4">
      <c r="D86" s="134"/>
    </row>
    <row r="87" spans="4:4">
      <c r="D87" s="134"/>
    </row>
    <row r="88" spans="4:4">
      <c r="D88" s="134"/>
    </row>
  </sheetData>
  <mergeCells count="76">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Z5:Z6"/>
    <mergeCell ref="AA5:AA6"/>
    <mergeCell ref="AN5:AN6"/>
    <mergeCell ref="AO5:AO6"/>
    <mergeCell ref="AP5:AP6"/>
    <mergeCell ref="AQ5:AQ6"/>
    <mergeCell ref="AC5:AC6"/>
    <mergeCell ref="AD5:AE5"/>
    <mergeCell ref="AF5:AF6"/>
    <mergeCell ref="AG5:AG6"/>
    <mergeCell ref="AH5:AH6"/>
    <mergeCell ref="AI5:AI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s>
  <phoneticPr fontId="9"/>
  <dataValidations count="5">
    <dataValidation type="decimal" operator="greaterThanOrEqual" allowBlank="1" showInputMessage="1" showErrorMessage="1" prompt="自動計算_x000a_" sqref="D27:D29 F49:F71 E8 D25 F45:F47 F15:F43 E14:E71" xr:uid="{49D5BC4D-9C5E-4042-A4FE-386C6BD201FD}">
      <formula1>0</formula1>
    </dataValidation>
    <dataValidation type="whole" operator="greaterThanOrEqual" allowBlank="1" showInputMessage="1" showErrorMessage="1" error="整数を入力" prompt="整数を入力" sqref="C43 C49 C45:C47 BB44 BB48 C55:C71 C15:C24" xr:uid="{3D4F1C3F-46B5-4DC5-B769-894B39C36B26}">
      <formula1>0</formula1>
    </dataValidation>
    <dataValidation type="whole" imeMode="disabled" operator="greaterThanOrEqual" allowBlank="1" showInputMessage="1" showErrorMessage="1" error="整数を入力" prompt="整数で入力" sqref="C7:C14 C44 C25:C42 C48 C50:C54 T7:BA71 BL7:BL71 BC7:BH71 BJ7:BJ71" xr:uid="{DB148BB3-B687-4B55-A75F-76771EE5A826}">
      <formula1>0</formula1>
    </dataValidation>
    <dataValidation type="whole" imeMode="disabled" operator="greaterThanOrEqual" allowBlank="1" showInputMessage="1" showErrorMessage="1" prompt="整数で入力" sqref="G45:G47 G43 G49:G71 BB49:BB71 F7:S14 BB45:BB47 H43:S71 BB7:BB43 G15:S42" xr:uid="{45AC77A5-9413-4E6E-B757-153D0244BE70}">
      <formula1>0</formula1>
    </dataValidation>
    <dataValidation type="whole" imeMode="halfAlpha" operator="greaterThanOrEqual" allowBlank="1" showInputMessage="1" showErrorMessage="1" prompt="整数を入力" sqref="F44:G44 F48:G48" xr:uid="{37A199F6-1EC3-4BC9-A86F-0305161EF138}">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4"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Normal="115" zoomScaleSheetLayoutView="100"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6" bestFit="1" customWidth="1"/>
    <col min="9" max="13" width="9" style="82"/>
    <col min="14" max="16384" width="9" style="3"/>
  </cols>
  <sheetData>
    <row r="1" spans="1:15" s="16" customFormat="1" ht="18" thickBot="1">
      <c r="B1" s="17" t="s">
        <v>1570</v>
      </c>
      <c r="C1" s="17"/>
      <c r="D1" s="17"/>
      <c r="E1" s="17"/>
      <c r="G1" s="32"/>
      <c r="H1" s="150"/>
      <c r="I1" s="88"/>
      <c r="J1" s="88"/>
      <c r="K1" s="88"/>
      <c r="L1" s="88"/>
      <c r="M1" s="88"/>
      <c r="N1" s="88"/>
      <c r="O1" s="88"/>
    </row>
    <row r="2" spans="1:15" ht="24" customHeight="1" thickBot="1">
      <c r="D2" s="10" t="s">
        <v>180</v>
      </c>
      <c r="E2" s="1257" t="s">
        <v>1793</v>
      </c>
      <c r="F2" s="1258"/>
      <c r="H2" s="73" t="s">
        <v>181</v>
      </c>
      <c r="I2" s="89"/>
      <c r="N2" s="82"/>
      <c r="O2" s="82"/>
    </row>
    <row r="3" spans="1:15" customFormat="1" ht="13.5" customHeight="1">
      <c r="G3" s="13"/>
      <c r="H3" s="74"/>
      <c r="I3" s="49"/>
      <c r="J3" s="49"/>
      <c r="K3" s="49"/>
      <c r="L3" s="49"/>
      <c r="M3" s="49"/>
      <c r="N3" s="49"/>
      <c r="O3" s="49"/>
    </row>
    <row r="4" spans="1:15" customFormat="1" ht="24" customHeight="1">
      <c r="A4" s="3"/>
      <c r="B4" s="440"/>
      <c r="C4" s="873"/>
      <c r="D4" s="1216" t="s">
        <v>1778</v>
      </c>
      <c r="E4" s="1260" t="str">
        <f>'様式4（全般事項）'!G5</f>
        <v>大阪府がん診療拠点病院</v>
      </c>
      <c r="F4" s="1261"/>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21">
      <c r="A7" s="5"/>
      <c r="B7" s="27" t="s">
        <v>182</v>
      </c>
      <c r="C7" s="5"/>
      <c r="D7" s="1129" t="s">
        <v>1632</v>
      </c>
      <c r="E7" s="1130"/>
      <c r="F7" s="1131"/>
      <c r="G7" s="14"/>
      <c r="H7" s="74"/>
      <c r="I7" s="51"/>
      <c r="J7" s="51"/>
      <c r="K7" s="51"/>
      <c r="L7" s="51"/>
      <c r="M7" s="51"/>
    </row>
    <row r="8" spans="1:15" s="26" customFormat="1" ht="15" customHeight="1">
      <c r="A8" s="23"/>
      <c r="B8" s="6" t="e">
        <f>IF(OR(#REF!="",#REF!="",#REF!="",#REF!="",#REF!="",#REF!=""),"未入力あり","入力済")</f>
        <v>#REF!</v>
      </c>
      <c r="C8" s="23"/>
      <c r="D8" s="24" t="s">
        <v>183</v>
      </c>
      <c r="E8" s="24"/>
      <c r="F8" s="25" t="s">
        <v>184</v>
      </c>
      <c r="G8" s="12"/>
      <c r="H8" s="74"/>
      <c r="I8" s="62"/>
      <c r="J8" s="90"/>
      <c r="K8" s="90"/>
      <c r="L8" s="90"/>
      <c r="M8" s="90"/>
    </row>
    <row r="9" spans="1:15" s="26" customFormat="1" ht="15" customHeight="1">
      <c r="A9" s="23"/>
      <c r="B9" s="35" t="str">
        <f>IF('様式4（全般事項）'!V1="✔チェック欄に未入力なし","入力済","未入力あり")</f>
        <v>入力済</v>
      </c>
      <c r="C9" s="23"/>
      <c r="D9" s="24" t="s">
        <v>185</v>
      </c>
      <c r="E9" s="24"/>
      <c r="F9" s="25" t="s">
        <v>186</v>
      </c>
      <c r="G9" s="12"/>
      <c r="H9" s="74"/>
      <c r="I9" s="91"/>
      <c r="J9" s="90"/>
      <c r="K9" s="90"/>
      <c r="L9" s="90"/>
      <c r="M9" s="90"/>
    </row>
    <row r="10" spans="1:15" s="26" customFormat="1" ht="15" customHeight="1">
      <c r="A10" s="23"/>
      <c r="B10" s="35" t="str">
        <f>IF('様式４(機能別)'!K2="未入力があります。","未入力あり","入力済")</f>
        <v>入力済</v>
      </c>
      <c r="C10" s="23"/>
      <c r="D10" s="24" t="s">
        <v>185</v>
      </c>
      <c r="E10" s="24"/>
      <c r="F10" s="25" t="s">
        <v>187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188</v>
      </c>
      <c r="E12" s="1259" t="s">
        <v>189</v>
      </c>
      <c r="F12" s="1259"/>
      <c r="G12" s="14"/>
      <c r="H12" s="74"/>
      <c r="I12" s="51"/>
      <c r="J12" s="51"/>
      <c r="K12" s="51"/>
      <c r="L12" s="51"/>
      <c r="M12" s="51"/>
    </row>
    <row r="13" spans="1:15" s="26" customFormat="1" ht="31.5">
      <c r="A13" s="6"/>
      <c r="B13" s="27" t="s">
        <v>190</v>
      </c>
      <c r="C13" s="28" t="s">
        <v>191</v>
      </c>
      <c r="D13" s="69" t="s">
        <v>192</v>
      </c>
      <c r="E13" s="75" t="s">
        <v>193</v>
      </c>
      <c r="F13" s="929" t="s">
        <v>194</v>
      </c>
      <c r="G13" s="12"/>
      <c r="H13" s="74"/>
      <c r="I13" s="90"/>
      <c r="J13" s="90"/>
      <c r="K13" s="90"/>
      <c r="L13" s="90"/>
      <c r="M13" s="90"/>
    </row>
    <row r="14" spans="1:15" s="26" customFormat="1" ht="49.5" customHeight="1">
      <c r="A14" s="1262" t="s">
        <v>195</v>
      </c>
      <c r="B14" s="11" t="str">
        <f>IF(別紙1未充足要件!F2="","未入力",別紙1未充足要件!F2)</f>
        <v>不要</v>
      </c>
      <c r="C14" s="50"/>
      <c r="D14" s="6" t="s">
        <v>196</v>
      </c>
      <c r="E14" s="75" t="s">
        <v>197</v>
      </c>
      <c r="F14" s="930" t="s">
        <v>1572</v>
      </c>
      <c r="G14" s="12"/>
      <c r="H14" s="74"/>
      <c r="I14" s="90"/>
      <c r="J14" s="90"/>
      <c r="K14" s="90"/>
      <c r="L14" s="90"/>
      <c r="M14" s="90"/>
    </row>
    <row r="15" spans="1:15" s="26" customFormat="1" ht="15" customHeight="1">
      <c r="A15" s="1263"/>
      <c r="B15" s="11" t="str">
        <f>IF(別紙2専門とするがんの診療状況!K2="","未入力",別紙2専門とするがんの診療状況!K2)</f>
        <v>入力済</v>
      </c>
      <c r="C15" s="50"/>
      <c r="D15" s="6" t="s">
        <v>198</v>
      </c>
      <c r="E15" s="75" t="s">
        <v>199</v>
      </c>
      <c r="F15" s="930" t="s">
        <v>200</v>
      </c>
      <c r="G15" s="12"/>
      <c r="H15" s="74"/>
      <c r="I15" s="90"/>
      <c r="J15" s="90"/>
      <c r="K15" s="90"/>
      <c r="L15" s="90"/>
      <c r="M15" s="90"/>
    </row>
    <row r="16" spans="1:15" s="26" customFormat="1" ht="23.45" customHeight="1">
      <c r="A16" s="1263"/>
      <c r="B16" s="11" t="str">
        <f>IF(別紙3自施設で対応しないもの!K2="","未入力",別紙3自施設で対応しないもの!K2)</f>
        <v>入力済</v>
      </c>
      <c r="C16" s="50"/>
      <c r="D16" s="6" t="s">
        <v>201</v>
      </c>
      <c r="E16" s="75" t="s">
        <v>199</v>
      </c>
      <c r="F16" s="930" t="s">
        <v>1573</v>
      </c>
      <c r="G16" s="12"/>
      <c r="H16" s="74"/>
      <c r="I16" s="90"/>
      <c r="J16" s="90"/>
      <c r="K16" s="90"/>
      <c r="L16" s="90"/>
      <c r="M16" s="90"/>
    </row>
    <row r="17" spans="1:13" s="26" customFormat="1" ht="15" customHeight="1">
      <c r="A17" s="1263"/>
      <c r="B17" s="11" t="str">
        <f>IF(別紙4カンファレンス!G2="","未入力あり",別紙4カンファレンス!G2)</f>
        <v>入力済</v>
      </c>
      <c r="C17" s="50"/>
      <c r="D17" s="6" t="s">
        <v>202</v>
      </c>
      <c r="E17" s="75" t="s">
        <v>199</v>
      </c>
      <c r="F17" s="930" t="s">
        <v>203</v>
      </c>
      <c r="G17" s="12"/>
      <c r="H17" s="74"/>
      <c r="I17" s="90"/>
      <c r="J17" s="90"/>
      <c r="K17" s="90"/>
      <c r="L17" s="90"/>
      <c r="M17" s="90"/>
    </row>
    <row r="18" spans="1:13" s="26" customFormat="1" ht="15" customHeight="1">
      <c r="A18" s="1263"/>
      <c r="B18" s="11" t="str">
        <f>IF(別紙5緩和外来!X2="","未入力あり",別紙5緩和外来!X2)</f>
        <v>入力済</v>
      </c>
      <c r="C18" s="50"/>
      <c r="D18" s="6" t="s">
        <v>204</v>
      </c>
      <c r="E18" s="24" t="s">
        <v>199</v>
      </c>
      <c r="F18" s="25" t="s">
        <v>205</v>
      </c>
      <c r="G18" s="12"/>
      <c r="H18" s="74"/>
      <c r="I18" s="90"/>
      <c r="J18" s="90"/>
      <c r="K18" s="90"/>
      <c r="L18" s="90"/>
      <c r="M18" s="90"/>
    </row>
    <row r="19" spans="1:13" s="26" customFormat="1" ht="15" customHeight="1">
      <c r="A19" s="1263"/>
      <c r="B19" s="11" t="str">
        <f>IF(別紙6緩和病棟!Y2="","未入力あり",別紙6緩和病棟!Y2)</f>
        <v>入力済</v>
      </c>
      <c r="C19" s="50"/>
      <c r="D19" s="6" t="s">
        <v>206</v>
      </c>
      <c r="E19" s="75" t="s">
        <v>199</v>
      </c>
      <c r="F19" s="25" t="s">
        <v>207</v>
      </c>
      <c r="G19" s="12"/>
      <c r="H19" s="74"/>
      <c r="I19" s="90"/>
      <c r="J19" s="90"/>
      <c r="K19" s="90"/>
      <c r="L19" s="90"/>
      <c r="M19" s="90"/>
    </row>
    <row r="20" spans="1:13" s="26" customFormat="1" ht="15" customHeight="1">
      <c r="A20" s="1263"/>
      <c r="B20" s="11" t="str">
        <f>IF(別紙7地域緩和ケア連携体制!J2="","未入力",別紙7地域緩和ケア連携体制!J2)</f>
        <v>入力済</v>
      </c>
      <c r="C20" s="50"/>
      <c r="D20" s="6" t="s">
        <v>208</v>
      </c>
      <c r="E20" s="75" t="s">
        <v>199</v>
      </c>
      <c r="F20" s="25" t="s">
        <v>209</v>
      </c>
      <c r="G20" s="12"/>
      <c r="H20" s="74"/>
      <c r="I20" s="90"/>
      <c r="J20" s="90"/>
      <c r="K20" s="90"/>
      <c r="L20" s="90"/>
      <c r="M20" s="90"/>
    </row>
    <row r="21" spans="1:13" s="26" customFormat="1" ht="15" customHeight="1">
      <c r="A21" s="1263"/>
      <c r="B21" s="11" t="str">
        <f>IF(別紙8緩和メンバーと活動!F3="","未入力",別紙8緩和メンバーと活動!F3)</f>
        <v>入力済</v>
      </c>
      <c r="C21" s="50"/>
      <c r="D21" s="6" t="s">
        <v>210</v>
      </c>
      <c r="E21" s="75" t="s">
        <v>199</v>
      </c>
      <c r="F21" s="25" t="s">
        <v>1746</v>
      </c>
      <c r="G21" s="12"/>
      <c r="H21" s="74"/>
      <c r="I21" s="90"/>
      <c r="J21" s="90"/>
      <c r="K21" s="90"/>
      <c r="L21" s="90"/>
      <c r="M21" s="90"/>
    </row>
    <row r="22" spans="1:13" s="26" customFormat="1" ht="15" customHeight="1">
      <c r="A22" s="1263"/>
      <c r="B22" s="11" t="str">
        <f>IF(別紙9インターネット環境!Y2="","未入力",別紙9インターネット環境!Y2)</f>
        <v>入力済</v>
      </c>
      <c r="C22" s="50"/>
      <c r="D22" s="6" t="s">
        <v>211</v>
      </c>
      <c r="E22" s="75" t="s">
        <v>199</v>
      </c>
      <c r="F22" s="25" t="s">
        <v>212</v>
      </c>
      <c r="G22" s="12"/>
      <c r="H22" s="74"/>
      <c r="I22" s="90"/>
      <c r="J22" s="90"/>
      <c r="K22" s="90"/>
      <c r="L22" s="90"/>
      <c r="M22" s="90"/>
    </row>
    <row r="23" spans="1:13" s="26" customFormat="1" ht="15" customHeight="1">
      <c r="A23" s="1263"/>
      <c r="B23" s="11" t="str">
        <f>IF(別紙10患者の特性に応じた支援!Y2="","未入力",別紙10患者の特性に応じた支援!Y2)</f>
        <v>入力済</v>
      </c>
      <c r="C23" s="50"/>
      <c r="D23" s="6" t="s">
        <v>213</v>
      </c>
      <c r="E23" s="75" t="s">
        <v>199</v>
      </c>
      <c r="F23" s="25" t="s">
        <v>214</v>
      </c>
      <c r="G23" s="12"/>
      <c r="H23" s="74"/>
      <c r="I23" s="90"/>
      <c r="J23" s="90"/>
      <c r="K23" s="90"/>
      <c r="L23" s="90"/>
      <c r="M23" s="90"/>
    </row>
    <row r="24" spans="1:13" s="26" customFormat="1" ht="15" customHeight="1">
      <c r="A24" s="1263"/>
      <c r="B24" s="11" t="str">
        <f>IF(別紙11相談内容!G2="","未入力",別紙11相談内容!G2)</f>
        <v>入力済</v>
      </c>
      <c r="C24" s="50"/>
      <c r="D24" s="6" t="s">
        <v>215</v>
      </c>
      <c r="E24" s="75" t="s">
        <v>199</v>
      </c>
      <c r="F24" s="29" t="s">
        <v>216</v>
      </c>
      <c r="G24" s="12"/>
      <c r="H24" s="74"/>
      <c r="I24" s="90"/>
      <c r="J24" s="90"/>
      <c r="K24" s="90"/>
      <c r="L24" s="90"/>
      <c r="M24" s="90"/>
    </row>
    <row r="25" spans="1:13" s="26" customFormat="1" ht="15" customHeight="1">
      <c r="A25" s="1263"/>
      <c r="B25" s="11" t="str">
        <f>IF(別紙12相談支援センター窓口等!W2="","未入力",別紙12相談支援センター窓口等!W2)</f>
        <v>入力済</v>
      </c>
      <c r="C25" s="50"/>
      <c r="D25" s="6" t="s">
        <v>217</v>
      </c>
      <c r="E25" s="75" t="s">
        <v>199</v>
      </c>
      <c r="F25" s="29" t="s">
        <v>218</v>
      </c>
      <c r="G25" s="12"/>
      <c r="H25" s="74"/>
      <c r="I25" s="90"/>
      <c r="J25" s="90"/>
      <c r="K25" s="90"/>
      <c r="L25" s="90"/>
      <c r="M25" s="90"/>
    </row>
    <row r="26" spans="1:13" s="26" customFormat="1" ht="15" customHeight="1">
      <c r="A26" s="1263"/>
      <c r="B26" s="11" t="str">
        <f>IF(別紙13相談支援センター体制!I2="","未入力",別紙13相談支援センター体制!I2)</f>
        <v>入力済</v>
      </c>
      <c r="C26" s="50"/>
      <c r="D26" s="6" t="s">
        <v>219</v>
      </c>
      <c r="E26" s="75" t="s">
        <v>199</v>
      </c>
      <c r="F26" s="29" t="s">
        <v>220</v>
      </c>
      <c r="G26" s="12"/>
      <c r="H26" s="74"/>
      <c r="I26" s="90"/>
      <c r="J26" s="90"/>
      <c r="K26" s="90"/>
      <c r="L26" s="90"/>
      <c r="M26" s="90"/>
    </row>
    <row r="27" spans="1:13" s="26" customFormat="1" ht="15" customHeight="1">
      <c r="A27" s="1263"/>
      <c r="B27" s="11" t="str">
        <f>IF(別紙14連携協力体制!H2="","未入力",別紙14連携協力体制!H2)</f>
        <v>入力済</v>
      </c>
      <c r="C27" s="50"/>
      <c r="D27" s="6" t="s">
        <v>221</v>
      </c>
      <c r="E27" s="75" t="s">
        <v>199</v>
      </c>
      <c r="F27" s="29" t="s">
        <v>222</v>
      </c>
      <c r="G27" s="12"/>
      <c r="H27" s="74"/>
      <c r="I27" s="90"/>
      <c r="J27" s="90"/>
      <c r="K27" s="90"/>
      <c r="L27" s="90"/>
      <c r="M27" s="90"/>
    </row>
    <row r="28" spans="1:13" s="26" customFormat="1" ht="15" customHeight="1">
      <c r="A28" s="1263"/>
      <c r="B28" s="11" t="str">
        <f>IF(別紙15専門外来!W2="","未入力",別紙15専門外来!W2)</f>
        <v>入力済</v>
      </c>
      <c r="C28" s="50"/>
      <c r="D28" s="6" t="s">
        <v>223</v>
      </c>
      <c r="E28" s="75" t="s">
        <v>199</v>
      </c>
      <c r="F28" s="29" t="s">
        <v>224</v>
      </c>
      <c r="G28" s="12"/>
      <c r="H28" s="74"/>
      <c r="I28" s="90"/>
      <c r="J28" s="90"/>
      <c r="K28" s="90"/>
      <c r="L28" s="90"/>
      <c r="M28" s="90"/>
    </row>
    <row r="29" spans="1:13" s="26" customFormat="1" ht="15" customHeight="1">
      <c r="A29" s="1263"/>
      <c r="B29" s="11" t="str">
        <f>IF(別紙16院内がん登録!G2="","未入力",別紙16院内がん登録!G2)</f>
        <v>入力済</v>
      </c>
      <c r="C29" s="50"/>
      <c r="D29" s="6" t="s">
        <v>225</v>
      </c>
      <c r="E29" s="75" t="s">
        <v>199</v>
      </c>
      <c r="F29" s="29" t="s">
        <v>226</v>
      </c>
      <c r="G29" s="12"/>
      <c r="H29" s="74"/>
      <c r="I29" s="90"/>
      <c r="J29" s="90"/>
      <c r="K29" s="90"/>
      <c r="L29" s="90"/>
      <c r="M29" s="90"/>
    </row>
    <row r="30" spans="1:13" s="26" customFormat="1" ht="15" customHeight="1">
      <c r="A30" s="1263"/>
      <c r="B30" s="11" t="str">
        <f>IF(別紙17臨床試験・治験!T2="","未入力",別紙17臨床試験・治験!T2)</f>
        <v>入力済</v>
      </c>
      <c r="C30" s="50"/>
      <c r="D30" s="6" t="s">
        <v>227</v>
      </c>
      <c r="E30" s="75" t="s">
        <v>199</v>
      </c>
      <c r="F30" s="29" t="s">
        <v>228</v>
      </c>
      <c r="G30" s="12"/>
      <c r="H30" s="74"/>
      <c r="I30" s="90"/>
      <c r="J30" s="90"/>
      <c r="K30" s="90"/>
      <c r="L30" s="90"/>
      <c r="M30" s="90"/>
    </row>
    <row r="31" spans="1:13" s="26" customFormat="1" ht="15" customHeight="1">
      <c r="A31" s="1263"/>
      <c r="B31" s="11" t="str">
        <f>IF(別紙18チーム医療の提供体制!O2="","未入力",別紙18チーム医療の提供体制!O2)</f>
        <v>入力済</v>
      </c>
      <c r="C31" s="67"/>
      <c r="D31" s="6" t="s">
        <v>1565</v>
      </c>
      <c r="E31" s="75" t="s">
        <v>199</v>
      </c>
      <c r="F31" s="29" t="s">
        <v>230</v>
      </c>
      <c r="G31" s="12"/>
      <c r="H31" s="74"/>
      <c r="I31" s="90"/>
      <c r="J31" s="90"/>
      <c r="K31" s="90"/>
      <c r="L31" s="90"/>
      <c r="M31" s="90"/>
    </row>
    <row r="32" spans="1:13" s="26" customFormat="1" ht="15" customHeight="1">
      <c r="A32" s="1263"/>
      <c r="B32" s="11" t="str">
        <f>IF(別紙19医療安全・第三者評価!I2="","未入力",別紙19医療安全・第三者評価!I2)</f>
        <v>入力済</v>
      </c>
      <c r="C32" s="67"/>
      <c r="D32" s="6" t="s">
        <v>229</v>
      </c>
      <c r="E32" s="75" t="s">
        <v>199</v>
      </c>
      <c r="F32" s="29" t="s">
        <v>232</v>
      </c>
      <c r="G32" s="12"/>
      <c r="H32" s="74"/>
      <c r="I32" s="90"/>
      <c r="J32" s="90"/>
      <c r="K32" s="90"/>
      <c r="L32" s="90"/>
      <c r="M32" s="90"/>
    </row>
    <row r="33" spans="1:13" s="30" customFormat="1" ht="15" customHeight="1">
      <c r="A33" s="1263"/>
      <c r="B33" s="11" t="str">
        <f>IF(別紙20歯科との連携!I2="","未入力あり",別紙20歯科との連携!I2)</f>
        <v>入力済</v>
      </c>
      <c r="C33" s="68"/>
      <c r="D33" s="6" t="s">
        <v>231</v>
      </c>
      <c r="E33" s="75" t="s">
        <v>199</v>
      </c>
      <c r="F33" s="25" t="s">
        <v>1478</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233</v>
      </c>
      <c r="E34" s="75" t="s">
        <v>199</v>
      </c>
      <c r="F34" s="25" t="s">
        <v>1477</v>
      </c>
      <c r="G34" s="34"/>
      <c r="H34" s="74"/>
      <c r="I34" s="90"/>
      <c r="J34" s="90"/>
      <c r="K34" s="92"/>
      <c r="L34" s="92"/>
      <c r="M34" s="92"/>
    </row>
    <row r="35" spans="1:13" s="26" customFormat="1" ht="15" customHeight="1">
      <c r="A35" s="87"/>
      <c r="B35" s="11" t="str">
        <f>IF(別紙22診療実績とりまとめ!I2="","未入力あり",別紙22診療実績とりまとめ!I2)</f>
        <v>入力済</v>
      </c>
      <c r="C35" s="68"/>
      <c r="D35" s="6" t="s">
        <v>1736</v>
      </c>
      <c r="E35" s="75" t="s">
        <v>199</v>
      </c>
      <c r="F35" s="25" t="s">
        <v>1718</v>
      </c>
      <c r="G35" s="12"/>
      <c r="H35" s="151"/>
      <c r="I35" s="90"/>
      <c r="J35" s="90"/>
      <c r="K35" s="90"/>
      <c r="L35" s="90"/>
      <c r="M35" s="90"/>
    </row>
    <row r="36" spans="1:13" s="30" customFormat="1" ht="15" customHeight="1">
      <c r="A36" s="70"/>
      <c r="B36" s="70"/>
      <c r="C36" s="70"/>
      <c r="D36" s="70"/>
      <c r="E36" s="71"/>
      <c r="F36" s="72"/>
      <c r="G36" s="34"/>
      <c r="H36" s="152"/>
      <c r="I36" s="90"/>
      <c r="J36" s="90"/>
      <c r="K36" s="92"/>
      <c r="L36" s="92"/>
      <c r="M36" s="92"/>
    </row>
    <row r="37" spans="1:13" s="26" customFormat="1" ht="15" customHeight="1">
      <c r="A37" s="70"/>
      <c r="B37" s="70"/>
      <c r="C37" s="70"/>
      <c r="D37" s="70"/>
      <c r="E37" s="71"/>
      <c r="F37" s="72"/>
      <c r="G37" s="12"/>
      <c r="H37" s="153"/>
      <c r="I37" s="90"/>
      <c r="J37" s="90"/>
      <c r="K37" s="90"/>
      <c r="L37" s="90"/>
      <c r="M37" s="90"/>
    </row>
    <row r="38" spans="1:13" s="26" customFormat="1" ht="15" customHeight="1">
      <c r="A38" s="70"/>
      <c r="B38" s="70"/>
      <c r="C38" s="70"/>
      <c r="D38" s="70"/>
      <c r="E38" s="71"/>
      <c r="F38" s="72"/>
      <c r="G38" s="12"/>
      <c r="H38" s="153"/>
      <c r="I38" s="90"/>
      <c r="J38" s="90"/>
      <c r="K38" s="90"/>
      <c r="L38" s="90"/>
      <c r="M38" s="90"/>
    </row>
    <row r="39" spans="1:13" ht="15" customHeight="1">
      <c r="A39" s="70"/>
      <c r="B39" s="70"/>
      <c r="C39" s="70"/>
      <c r="D39" s="70"/>
      <c r="E39" s="71"/>
      <c r="F39" s="72"/>
      <c r="H39" s="153"/>
      <c r="I39" s="90"/>
      <c r="J39" s="90"/>
    </row>
    <row r="40" spans="1:13" ht="15" customHeight="1">
      <c r="A40" s="70"/>
      <c r="B40" s="70"/>
      <c r="C40" s="70"/>
      <c r="D40" s="70"/>
      <c r="E40" s="71"/>
      <c r="F40" s="72"/>
      <c r="H40" s="153"/>
      <c r="I40" s="90"/>
      <c r="J40" s="90"/>
    </row>
    <row r="41" spans="1:13" s="30" customFormat="1" ht="15" customHeight="1">
      <c r="A41" s="70"/>
      <c r="B41" s="70"/>
      <c r="C41" s="70"/>
      <c r="D41" s="70"/>
      <c r="E41" s="71"/>
      <c r="F41" s="72"/>
      <c r="G41" s="34"/>
      <c r="H41" s="153"/>
      <c r="I41" s="90"/>
      <c r="J41" s="90"/>
      <c r="K41" s="92"/>
      <c r="L41" s="92"/>
      <c r="M41" s="92"/>
    </row>
    <row r="42" spans="1:13" s="26" customFormat="1" ht="15" customHeight="1">
      <c r="A42" s="70"/>
      <c r="B42" s="70"/>
      <c r="C42" s="70"/>
      <c r="D42" s="70"/>
      <c r="E42" s="71"/>
      <c r="F42" s="72"/>
      <c r="G42" s="12"/>
      <c r="H42" s="153"/>
      <c r="I42" s="90"/>
      <c r="J42" s="90"/>
      <c r="K42" s="90"/>
      <c r="L42" s="90"/>
      <c r="M42" s="90"/>
    </row>
    <row r="43" spans="1:13">
      <c r="A43" s="70"/>
      <c r="B43" s="70"/>
      <c r="C43" s="70"/>
      <c r="D43" s="70"/>
      <c r="E43" s="71"/>
      <c r="F43" s="72"/>
      <c r="H43" s="153"/>
      <c r="I43" s="90"/>
      <c r="J43" s="90"/>
    </row>
    <row r="44" spans="1:13">
      <c r="A44" s="70"/>
      <c r="B44" s="70"/>
      <c r="C44" s="70"/>
      <c r="D44" s="70"/>
      <c r="E44" s="71"/>
      <c r="F44" s="72"/>
      <c r="H44" s="153"/>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9"/>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topLeftCell="A260" zoomScale="50" zoomScaleNormal="90" zoomScaleSheetLayoutView="98" workbookViewId="0">
      <selection activeCell="R287" sqref="R287"/>
    </sheetView>
  </sheetViews>
  <sheetFormatPr defaultColWidth="9" defaultRowHeight="20.100000000000001" customHeight="1"/>
  <cols>
    <col min="1" max="1" width="1.875" style="181" customWidth="1"/>
    <col min="2" max="2" width="3.375" style="181" customWidth="1"/>
    <col min="3" max="3" width="6" style="181" customWidth="1"/>
    <col min="4" max="4" width="2.625" style="181" customWidth="1"/>
    <col min="5" max="5" width="2.875" style="181" customWidth="1"/>
    <col min="6" max="6" width="14.75" style="3" customWidth="1"/>
    <col min="7" max="7" width="37.75" style="182" customWidth="1"/>
    <col min="8" max="8" width="45.875" style="7" customWidth="1"/>
    <col min="9" max="9" width="10.625" style="183" customWidth="1"/>
    <col min="10" max="10" width="18.625" style="8" customWidth="1"/>
    <col min="11" max="11" width="2.375" style="8" customWidth="1"/>
    <col min="12" max="13" width="5.625" style="8" customWidth="1"/>
    <col min="14" max="14" width="7" style="8" customWidth="1"/>
    <col min="15" max="17" width="5.625" style="8" customWidth="1"/>
    <col min="18" max="18" width="10.625" style="183" customWidth="1"/>
    <col min="19" max="19" width="5.625" style="8" customWidth="1"/>
    <col min="20" max="20" width="10.625" style="3" customWidth="1"/>
    <col min="21" max="21" width="14.5" style="8" customWidth="1"/>
    <col min="22" max="22" width="6.375" style="42" customWidth="1"/>
    <col min="23" max="23" width="12.875" style="183" customWidth="1"/>
    <col min="24" max="24" width="4.625" style="3" customWidth="1"/>
    <col min="25" max="25" width="94" style="185" customWidth="1"/>
    <col min="26" max="26" width="0" style="3" hidden="1" customWidth="1"/>
    <col min="27" max="27" width="11.75" style="3" hidden="1" customWidth="1"/>
    <col min="28" max="29" width="0" style="3" hidden="1" customWidth="1"/>
    <col min="30" max="30" width="9" style="3"/>
    <col min="31" max="16384" width="9" style="181"/>
  </cols>
  <sheetData>
    <row r="1" spans="1:26" ht="17.25" customHeight="1">
      <c r="A1" s="3"/>
      <c r="U1" s="184"/>
      <c r="V1" s="1270" t="str">
        <f>IF(COUNTIF((W6:W320),"未入力あり"),"※このシートには未入力があります。「未入力あり」の行を確認してください。↓","✔チェック欄に未入力なし")</f>
        <v>✔チェック欄に未入力なし</v>
      </c>
      <c r="W1" s="1270"/>
    </row>
    <row r="2" spans="1:26" ht="28.5" customHeight="1">
      <c r="A2" s="1280" t="s">
        <v>1728</v>
      </c>
      <c r="B2" s="1280"/>
      <c r="C2" s="1280"/>
      <c r="D2" s="1280"/>
      <c r="E2" s="1280"/>
      <c r="F2" s="1280"/>
      <c r="G2" s="1280"/>
      <c r="H2" s="1280"/>
      <c r="I2" s="1280"/>
      <c r="J2" s="1280"/>
      <c r="K2" s="1280"/>
      <c r="L2" s="1280"/>
      <c r="M2" s="1280"/>
      <c r="N2" s="1280"/>
      <c r="O2" s="1280"/>
      <c r="P2" s="1280"/>
      <c r="Q2" s="1280"/>
      <c r="R2" s="1280"/>
      <c r="S2" s="1280"/>
      <c r="T2" s="1280"/>
      <c r="U2" s="1280"/>
      <c r="V2" s="1270"/>
      <c r="W2" s="1270"/>
      <c r="X2" s="181"/>
      <c r="Y2" s="186"/>
    </row>
    <row r="3" spans="1:26" ht="24.95" customHeight="1">
      <c r="A3" s="1287" t="s">
        <v>1719</v>
      </c>
      <c r="B3" s="1287"/>
      <c r="C3" s="1287"/>
      <c r="D3" s="1287"/>
      <c r="E3" s="1287"/>
      <c r="F3" s="1287"/>
      <c r="G3" s="1287"/>
      <c r="H3" s="1287"/>
      <c r="I3" s="1287"/>
      <c r="J3" s="1287"/>
      <c r="K3" s="1287"/>
      <c r="L3" s="1287"/>
      <c r="M3" s="1287"/>
      <c r="N3" s="1287"/>
      <c r="O3" s="1287"/>
      <c r="P3" s="1287"/>
      <c r="Q3" s="1287"/>
      <c r="R3" s="1287"/>
      <c r="S3" s="1287"/>
      <c r="T3" s="1287"/>
      <c r="U3" s="1287"/>
      <c r="V3" s="1270"/>
      <c r="W3" s="1270"/>
      <c r="Y3" s="187" t="s">
        <v>235</v>
      </c>
    </row>
    <row r="4" spans="1:26" ht="12" customHeight="1" thickBot="1">
      <c r="A4" s="867"/>
      <c r="B4" s="867"/>
      <c r="C4" s="867"/>
      <c r="D4" s="867"/>
      <c r="E4" s="867"/>
      <c r="F4" s="867"/>
      <c r="G4" s="867"/>
      <c r="H4" s="867"/>
      <c r="I4" s="867"/>
      <c r="J4" s="867"/>
      <c r="K4" s="867"/>
      <c r="L4" s="867"/>
      <c r="M4" s="867"/>
      <c r="N4" s="867"/>
      <c r="O4" s="867"/>
      <c r="P4" s="867"/>
      <c r="Q4" s="867"/>
      <c r="R4" s="867"/>
      <c r="S4" s="867"/>
      <c r="T4" s="867"/>
      <c r="U4" s="867"/>
      <c r="V4" s="1270"/>
      <c r="W4" s="1270"/>
      <c r="Y4" s="868"/>
    </row>
    <row r="5" spans="1:26" ht="25.5" customHeight="1" thickBot="1">
      <c r="A5" s="181" t="s">
        <v>1761</v>
      </c>
      <c r="G5" s="1214" t="s">
        <v>1795</v>
      </c>
      <c r="H5" s="3" t="s">
        <v>1781</v>
      </c>
      <c r="P5" s="1296" t="s">
        <v>1955</v>
      </c>
      <c r="Q5" s="1297"/>
      <c r="R5" s="1298"/>
      <c r="V5" s="1270"/>
      <c r="W5" s="1270"/>
      <c r="Y5" s="155"/>
    </row>
    <row r="6" spans="1:26" ht="20.100000000000001" customHeight="1" thickBot="1">
      <c r="B6" s="3"/>
      <c r="C6" s="3"/>
      <c r="D6" s="3"/>
      <c r="E6" s="3"/>
      <c r="G6" s="1214" t="s">
        <v>1795</v>
      </c>
      <c r="H6" s="181" t="s">
        <v>1780</v>
      </c>
      <c r="I6" s="181"/>
      <c r="J6" s="181"/>
      <c r="L6" s="181"/>
      <c r="M6" s="181"/>
      <c r="N6" s="181"/>
      <c r="O6" s="181"/>
      <c r="P6" s="8" t="s">
        <v>1261</v>
      </c>
      <c r="Q6" s="181"/>
      <c r="R6" s="181"/>
      <c r="S6" s="181"/>
      <c r="Y6" s="155"/>
    </row>
    <row r="7" spans="1:26" ht="20.100000000000001" customHeight="1">
      <c r="B7" s="3"/>
      <c r="C7" s="3"/>
      <c r="D7" s="3"/>
      <c r="E7" s="3"/>
      <c r="G7" s="181"/>
      <c r="H7" s="181"/>
      <c r="I7" s="181"/>
      <c r="J7" s="181"/>
      <c r="L7" s="181"/>
      <c r="M7" s="181"/>
      <c r="N7" s="181"/>
      <c r="O7" s="181"/>
      <c r="Q7" s="181"/>
      <c r="R7" s="181"/>
      <c r="S7" s="181"/>
      <c r="Y7" s="155"/>
    </row>
    <row r="8" spans="1:26" ht="20.100000000000001" customHeight="1">
      <c r="A8" s="3"/>
      <c r="B8" s="3"/>
      <c r="C8" s="1215" t="s">
        <v>1782</v>
      </c>
      <c r="D8" s="3"/>
      <c r="E8" s="3"/>
      <c r="G8" s="7"/>
      <c r="H8" s="3"/>
      <c r="I8" s="8"/>
      <c r="J8" s="181"/>
      <c r="L8" s="181"/>
      <c r="M8" s="181"/>
      <c r="N8" s="181"/>
      <c r="O8" s="181"/>
      <c r="P8" s="181"/>
      <c r="Q8" s="181"/>
      <c r="R8" s="181"/>
      <c r="S8" s="181"/>
      <c r="Y8" s="155"/>
    </row>
    <row r="9" spans="1:26" ht="20.100000000000001" customHeight="1">
      <c r="A9" s="3"/>
      <c r="B9" s="3"/>
      <c r="C9" s="3"/>
      <c r="D9" s="3"/>
      <c r="E9" s="3"/>
      <c r="G9" s="7"/>
      <c r="H9" s="3"/>
      <c r="I9" s="8"/>
      <c r="J9" s="181"/>
      <c r="L9" s="181"/>
      <c r="M9" s="181"/>
      <c r="N9" s="181"/>
      <c r="O9" s="181"/>
      <c r="P9" s="181"/>
      <c r="Q9" s="181"/>
      <c r="R9" s="181"/>
      <c r="S9" s="181"/>
      <c r="Y9" s="155"/>
    </row>
    <row r="10" spans="1:26" ht="20.100000000000001" customHeight="1">
      <c r="A10" s="181" t="s">
        <v>236</v>
      </c>
      <c r="T10" s="183"/>
      <c r="U10" s="191"/>
      <c r="W10" s="181"/>
      <c r="Y10" s="155"/>
    </row>
    <row r="11" spans="1:26" ht="21.75" customHeight="1">
      <c r="A11" s="192" t="s">
        <v>237</v>
      </c>
      <c r="B11" s="193"/>
      <c r="C11" s="193"/>
      <c r="D11" s="193"/>
      <c r="E11" s="193"/>
      <c r="F11" s="194"/>
      <c r="G11" s="195"/>
      <c r="H11" s="1281" t="str">
        <f>表紙!E2</f>
        <v>パナソニック健康保険組合　松下記念病院</v>
      </c>
      <c r="I11" s="1282"/>
      <c r="J11" s="1282"/>
      <c r="K11" s="1282"/>
      <c r="L11" s="1282"/>
      <c r="M11" s="1282"/>
      <c r="N11" s="1282"/>
      <c r="O11" s="1282"/>
      <c r="P11" s="1282"/>
      <c r="Q11" s="1282"/>
      <c r="R11" s="1282"/>
      <c r="S11" s="1282"/>
      <c r="T11" s="1283"/>
      <c r="U11" s="196"/>
      <c r="V11" s="42">
        <f>+ROW()</f>
        <v>11</v>
      </c>
      <c r="Y11" s="155"/>
    </row>
    <row r="12" spans="1:26" ht="18" thickBot="1">
      <c r="A12" s="197"/>
      <c r="B12" s="198"/>
      <c r="C12" s="198"/>
      <c r="D12" s="198"/>
      <c r="E12" s="198"/>
      <c r="F12" s="199"/>
      <c r="G12" s="200"/>
      <c r="H12" s="201"/>
      <c r="I12" s="202"/>
      <c r="J12" s="202"/>
      <c r="K12" s="202"/>
      <c r="L12" s="202"/>
      <c r="M12" s="202"/>
      <c r="N12" s="202"/>
      <c r="O12" s="202"/>
      <c r="P12" s="202"/>
      <c r="Q12" s="202"/>
      <c r="R12" s="202"/>
      <c r="S12" s="202"/>
      <c r="T12" s="203"/>
      <c r="U12" s="204"/>
      <c r="V12" s="42">
        <f t="shared" ref="V12:V78" si="0">+ROW()</f>
        <v>12</v>
      </c>
      <c r="Y12" s="155"/>
    </row>
    <row r="13" spans="1:26" ht="20.100000000000001" customHeight="1" thickBot="1">
      <c r="A13" s="205"/>
      <c r="B13" s="206" t="s">
        <v>238</v>
      </c>
      <c r="C13" s="206"/>
      <c r="D13" s="206"/>
      <c r="E13" s="206"/>
      <c r="F13" s="207"/>
      <c r="G13" s="208"/>
      <c r="H13" s="1288" t="s">
        <v>1796</v>
      </c>
      <c r="I13" s="1289"/>
      <c r="J13" s="1289"/>
      <c r="K13" s="1289"/>
      <c r="L13" s="1289"/>
      <c r="M13" s="1289"/>
      <c r="N13" s="1289"/>
      <c r="O13" s="1289"/>
      <c r="P13" s="1289"/>
      <c r="Q13" s="1289"/>
      <c r="R13" s="1289"/>
      <c r="S13" s="1289"/>
      <c r="T13" s="1290"/>
      <c r="U13" s="209"/>
      <c r="V13" s="42">
        <f t="shared" si="0"/>
        <v>13</v>
      </c>
      <c r="Y13" s="155"/>
    </row>
    <row r="14" spans="1:26" ht="20.100000000000001" customHeight="1">
      <c r="A14" s="210"/>
      <c r="B14" s="206"/>
      <c r="C14" s="206"/>
      <c r="D14" s="206"/>
      <c r="E14" s="206"/>
      <c r="F14" s="207"/>
      <c r="G14" s="208"/>
      <c r="H14" s="211"/>
      <c r="I14" s="211"/>
      <c r="J14" s="211"/>
      <c r="K14" s="211"/>
      <c r="L14" s="211"/>
      <c r="M14" s="211"/>
      <c r="N14" s="211"/>
      <c r="O14" s="211"/>
      <c r="P14" s="211"/>
      <c r="Q14" s="211"/>
      <c r="R14" s="211"/>
      <c r="S14" s="211"/>
      <c r="T14" s="211"/>
      <c r="U14" s="209"/>
      <c r="V14" s="42">
        <f t="shared" si="0"/>
        <v>14</v>
      </c>
      <c r="Y14" s="155"/>
    </row>
    <row r="15" spans="1:26" ht="20.100000000000001" customHeight="1" thickBot="1">
      <c r="A15" s="205" t="s">
        <v>239</v>
      </c>
      <c r="B15" s="206"/>
      <c r="C15" s="206"/>
      <c r="D15" s="206"/>
      <c r="E15" s="206"/>
      <c r="F15" s="207"/>
      <c r="G15" s="208"/>
      <c r="H15" s="212"/>
      <c r="I15" s="207"/>
      <c r="J15" s="207"/>
      <c r="K15" s="207"/>
      <c r="L15" s="207"/>
      <c r="M15" s="207"/>
      <c r="N15" s="207"/>
      <c r="O15" s="207"/>
      <c r="P15" s="207"/>
      <c r="Q15" s="207"/>
      <c r="R15" s="207"/>
      <c r="S15" s="207"/>
      <c r="T15" s="207"/>
      <c r="U15" s="213"/>
      <c r="V15" s="42">
        <f t="shared" si="0"/>
        <v>15</v>
      </c>
      <c r="Y15" s="155"/>
      <c r="Z15" s="1269"/>
    </row>
    <row r="16" spans="1:26" ht="20.100000000000001" customHeight="1" thickBot="1">
      <c r="A16" s="205"/>
      <c r="B16" s="206" t="s">
        <v>240</v>
      </c>
      <c r="C16" s="206"/>
      <c r="D16" s="206"/>
      <c r="E16" s="206"/>
      <c r="F16" s="207"/>
      <c r="G16" s="214" t="s">
        <v>241</v>
      </c>
      <c r="H16" s="98" t="s">
        <v>1797</v>
      </c>
      <c r="I16" s="215"/>
      <c r="J16" s="215"/>
      <c r="K16" s="215"/>
      <c r="L16" s="215"/>
      <c r="M16" s="215"/>
      <c r="N16" s="215"/>
      <c r="O16" s="215"/>
      <c r="P16" s="215"/>
      <c r="Q16" s="215"/>
      <c r="R16" s="215"/>
      <c r="S16" s="215"/>
      <c r="T16" s="215"/>
      <c r="U16" s="213"/>
      <c r="V16" s="42">
        <f t="shared" si="0"/>
        <v>16</v>
      </c>
      <c r="Y16" s="155"/>
      <c r="Z16" s="1269"/>
    </row>
    <row r="17" spans="1:30" ht="20.100000000000001" customHeight="1" thickBot="1">
      <c r="A17" s="205"/>
      <c r="B17" s="206" t="s">
        <v>242</v>
      </c>
      <c r="C17" s="208"/>
      <c r="D17" s="208"/>
      <c r="E17" s="208"/>
      <c r="F17" s="207"/>
      <c r="G17" s="40"/>
      <c r="H17" s="99" t="s">
        <v>1798</v>
      </c>
      <c r="I17" s="1291" t="s">
        <v>1799</v>
      </c>
      <c r="J17" s="1292"/>
      <c r="K17" s="1292"/>
      <c r="L17" s="1292"/>
      <c r="M17" s="1292"/>
      <c r="N17" s="1292"/>
      <c r="O17" s="1292"/>
      <c r="P17" s="1292"/>
      <c r="Q17" s="1292"/>
      <c r="R17" s="1292"/>
      <c r="S17" s="1292"/>
      <c r="T17" s="1293"/>
      <c r="U17" s="213"/>
      <c r="V17" s="42">
        <f t="shared" si="0"/>
        <v>17</v>
      </c>
      <c r="Y17" s="155"/>
      <c r="Z17" s="1269"/>
    </row>
    <row r="18" spans="1:30" ht="21" customHeight="1" thickBot="1">
      <c r="A18" s="197"/>
      <c r="B18" s="198" t="s">
        <v>238</v>
      </c>
      <c r="C18" s="200"/>
      <c r="D18" s="200"/>
      <c r="E18" s="200"/>
      <c r="F18" s="199"/>
      <c r="G18" s="41"/>
      <c r="H18" s="1"/>
      <c r="I18" s="1271" t="s">
        <v>1800</v>
      </c>
      <c r="J18" s="1272"/>
      <c r="K18" s="1272"/>
      <c r="L18" s="1272"/>
      <c r="M18" s="1272"/>
      <c r="N18" s="1272"/>
      <c r="O18" s="1272"/>
      <c r="P18" s="1272"/>
      <c r="Q18" s="1272"/>
      <c r="R18" s="1272"/>
      <c r="S18" s="1272"/>
      <c r="T18" s="1273"/>
      <c r="U18" s="216"/>
      <c r="V18" s="42">
        <f t="shared" si="0"/>
        <v>18</v>
      </c>
      <c r="Y18" s="155"/>
      <c r="Z18" s="1269"/>
      <c r="AA18" s="181"/>
      <c r="AB18" s="181"/>
      <c r="AC18" s="181"/>
      <c r="AD18" s="181"/>
    </row>
    <row r="19" spans="1:30" ht="20.100000000000001" customHeight="1" thickBot="1">
      <c r="A19" s="205"/>
      <c r="B19" s="206" t="s">
        <v>243</v>
      </c>
      <c r="C19" s="208"/>
      <c r="D19" s="208"/>
      <c r="E19" s="208"/>
      <c r="F19" s="207"/>
      <c r="G19" s="208"/>
      <c r="H19" s="1274" t="s">
        <v>1801</v>
      </c>
      <c r="I19" s="1275"/>
      <c r="J19" s="1275"/>
      <c r="K19" s="1275"/>
      <c r="L19" s="1275"/>
      <c r="M19" s="1275"/>
      <c r="N19" s="1275"/>
      <c r="O19" s="1275"/>
      <c r="P19" s="1275"/>
      <c r="Q19" s="1275"/>
      <c r="R19" s="1275"/>
      <c r="S19" s="1275"/>
      <c r="T19" s="1276"/>
      <c r="U19" s="213"/>
      <c r="V19" s="42">
        <f t="shared" si="0"/>
        <v>19</v>
      </c>
      <c r="Y19" s="155"/>
      <c r="Z19" s="1269"/>
      <c r="AA19" s="181"/>
      <c r="AB19" s="181"/>
      <c r="AC19" s="181"/>
      <c r="AD19" s="181"/>
    </row>
    <row r="20" spans="1:30" ht="20.100000000000001" customHeight="1" thickBot="1">
      <c r="A20" s="205"/>
      <c r="B20" s="206" t="s">
        <v>244</v>
      </c>
      <c r="C20" s="208"/>
      <c r="D20" s="208"/>
      <c r="E20" s="208"/>
      <c r="F20" s="207"/>
      <c r="G20" s="208"/>
      <c r="H20" s="1274" t="s">
        <v>1802</v>
      </c>
      <c r="I20" s="1275"/>
      <c r="J20" s="1275"/>
      <c r="K20" s="1275"/>
      <c r="L20" s="1275"/>
      <c r="M20" s="1275"/>
      <c r="N20" s="1275"/>
      <c r="O20" s="1275"/>
      <c r="P20" s="1275"/>
      <c r="Q20" s="1275"/>
      <c r="R20" s="1275"/>
      <c r="S20" s="1275"/>
      <c r="T20" s="1276"/>
      <c r="U20" s="213"/>
      <c r="V20" s="42">
        <f t="shared" si="0"/>
        <v>20</v>
      </c>
      <c r="Y20" s="155"/>
      <c r="Z20" s="1269"/>
      <c r="AA20" s="181"/>
      <c r="AB20" s="181"/>
      <c r="AC20" s="181"/>
      <c r="AD20" s="181"/>
    </row>
    <row r="21" spans="1:30" ht="20.100000000000001" customHeight="1" thickBot="1">
      <c r="A21" s="205"/>
      <c r="B21" s="206" t="s">
        <v>245</v>
      </c>
      <c r="C21" s="208"/>
      <c r="D21" s="208"/>
      <c r="E21" s="208"/>
      <c r="F21" s="207"/>
      <c r="G21" s="208"/>
      <c r="H21" s="1277" t="s">
        <v>1803</v>
      </c>
      <c r="I21" s="1278"/>
      <c r="J21" s="1278"/>
      <c r="K21" s="1278"/>
      <c r="L21" s="1278"/>
      <c r="M21" s="1278"/>
      <c r="N21" s="1278"/>
      <c r="O21" s="1278"/>
      <c r="P21" s="1278"/>
      <c r="Q21" s="1278"/>
      <c r="R21" s="1278"/>
      <c r="S21" s="1278"/>
      <c r="T21" s="1279"/>
      <c r="U21" s="213"/>
      <c r="V21" s="42">
        <f t="shared" si="0"/>
        <v>21</v>
      </c>
      <c r="Y21" s="155"/>
      <c r="Z21" s="1269"/>
      <c r="AA21" s="181"/>
      <c r="AB21" s="181"/>
      <c r="AC21" s="181"/>
      <c r="AD21" s="181"/>
    </row>
    <row r="22" spans="1:30" ht="20.100000000000001" customHeight="1" thickBot="1">
      <c r="A22" s="205"/>
      <c r="B22" s="206" t="s">
        <v>246</v>
      </c>
      <c r="C22" s="208"/>
      <c r="D22" s="208"/>
      <c r="E22" s="208"/>
      <c r="F22" s="207"/>
      <c r="G22" s="208"/>
      <c r="H22" s="1274" t="s">
        <v>1804</v>
      </c>
      <c r="I22" s="1275"/>
      <c r="J22" s="1275"/>
      <c r="K22" s="1275"/>
      <c r="L22" s="1275"/>
      <c r="M22" s="1275"/>
      <c r="N22" s="1275"/>
      <c r="O22" s="1275"/>
      <c r="P22" s="1275"/>
      <c r="Q22" s="1275"/>
      <c r="R22" s="1275"/>
      <c r="S22" s="1275"/>
      <c r="T22" s="1276"/>
      <c r="U22" s="213"/>
      <c r="V22" s="42">
        <f t="shared" si="0"/>
        <v>22</v>
      </c>
      <c r="Y22" s="155"/>
      <c r="Z22" s="1269"/>
      <c r="AA22" s="181"/>
      <c r="AB22" s="181"/>
      <c r="AC22" s="181"/>
      <c r="AD22" s="181"/>
    </row>
    <row r="23" spans="1:30" ht="20.100000000000001" customHeight="1" thickBot="1">
      <c r="A23" s="205"/>
      <c r="B23" s="206" t="s">
        <v>247</v>
      </c>
      <c r="C23" s="206"/>
      <c r="D23" s="206"/>
      <c r="E23" s="206"/>
      <c r="F23" s="207"/>
      <c r="G23" s="208"/>
      <c r="H23" s="1284" t="s">
        <v>1805</v>
      </c>
      <c r="I23" s="1285"/>
      <c r="J23" s="1285"/>
      <c r="K23" s="1285"/>
      <c r="L23" s="1285"/>
      <c r="M23" s="1285"/>
      <c r="N23" s="1285"/>
      <c r="O23" s="1285"/>
      <c r="P23" s="1285"/>
      <c r="Q23" s="1285"/>
      <c r="R23" s="1285"/>
      <c r="S23" s="1285"/>
      <c r="T23" s="1286"/>
      <c r="U23" s="213"/>
      <c r="V23" s="42">
        <f t="shared" si="0"/>
        <v>23</v>
      </c>
      <c r="Y23" s="155"/>
      <c r="Z23" s="1269"/>
      <c r="AA23" s="181"/>
      <c r="AB23" s="181"/>
      <c r="AC23" s="181"/>
      <c r="AD23" s="181"/>
    </row>
    <row r="24" spans="1:30" ht="20.100000000000001" customHeight="1" thickBot="1">
      <c r="A24" s="205"/>
      <c r="B24" s="206" t="s">
        <v>248</v>
      </c>
      <c r="C24" s="206"/>
      <c r="D24" s="206"/>
      <c r="E24" s="206"/>
      <c r="F24" s="207"/>
      <c r="G24" s="208"/>
      <c r="H24" s="1284" t="s">
        <v>1805</v>
      </c>
      <c r="I24" s="1285"/>
      <c r="J24" s="1285"/>
      <c r="K24" s="1285"/>
      <c r="L24" s="1285"/>
      <c r="M24" s="1285"/>
      <c r="N24" s="1285"/>
      <c r="O24" s="1285"/>
      <c r="P24" s="1285"/>
      <c r="Q24" s="1285"/>
      <c r="R24" s="1285"/>
      <c r="S24" s="1285"/>
      <c r="T24" s="1286"/>
      <c r="U24" s="213"/>
      <c r="V24" s="42">
        <f t="shared" si="0"/>
        <v>24</v>
      </c>
      <c r="Y24" s="155"/>
      <c r="Z24" s="1269"/>
      <c r="AA24" s="181"/>
      <c r="AB24" s="181"/>
      <c r="AC24" s="181"/>
      <c r="AD24" s="181"/>
    </row>
    <row r="25" spans="1:30" ht="20.100000000000001" customHeight="1">
      <c r="A25" s="210"/>
      <c r="B25" s="206"/>
      <c r="C25" s="206"/>
      <c r="D25" s="206"/>
      <c r="E25" s="206"/>
      <c r="F25" s="207"/>
      <c r="G25" s="208"/>
      <c r="H25" s="217"/>
      <c r="I25" s="218"/>
      <c r="J25" s="217"/>
      <c r="K25" s="217"/>
      <c r="L25" s="217"/>
      <c r="M25" s="217"/>
      <c r="N25" s="217"/>
      <c r="O25" s="217"/>
      <c r="P25" s="217"/>
      <c r="Q25" s="217"/>
      <c r="R25" s="218"/>
      <c r="S25" s="219"/>
      <c r="T25" s="219"/>
      <c r="U25" s="220"/>
      <c r="V25" s="42">
        <f t="shared" si="0"/>
        <v>25</v>
      </c>
      <c r="Y25" s="155"/>
      <c r="Z25" s="1269"/>
      <c r="AA25" s="181"/>
      <c r="AB25" s="181"/>
      <c r="AC25" s="181"/>
      <c r="AD25" s="181"/>
    </row>
    <row r="26" spans="1:30" ht="27" customHeight="1">
      <c r="A26" s="205" t="s">
        <v>249</v>
      </c>
      <c r="B26" s="206"/>
      <c r="C26" s="206"/>
      <c r="D26" s="206"/>
      <c r="E26" s="206"/>
      <c r="F26" s="206"/>
      <c r="G26" s="208"/>
      <c r="H26" s="221"/>
      <c r="I26" s="222"/>
      <c r="J26" s="206"/>
      <c r="K26" s="206"/>
      <c r="L26" s="206"/>
      <c r="M26" s="206"/>
      <c r="N26" s="206"/>
      <c r="O26" s="206"/>
      <c r="P26" s="206"/>
      <c r="Q26" s="206"/>
      <c r="R26" s="222"/>
      <c r="S26" s="206"/>
      <c r="T26" s="206"/>
      <c r="U26" s="223"/>
      <c r="V26" s="42">
        <f t="shared" si="0"/>
        <v>26</v>
      </c>
      <c r="Y26" s="155"/>
      <c r="AA26" s="181"/>
      <c r="AB26" s="181"/>
      <c r="AC26" s="181"/>
      <c r="AD26" s="181"/>
    </row>
    <row r="27" spans="1:30" ht="18" thickBot="1">
      <c r="A27" s="205"/>
      <c r="B27" s="206" t="s">
        <v>250</v>
      </c>
      <c r="C27" s="206"/>
      <c r="D27" s="206"/>
      <c r="E27" s="206"/>
      <c r="F27" s="206"/>
      <c r="G27" s="208"/>
      <c r="H27" s="221"/>
      <c r="I27" s="224"/>
      <c r="J27" s="5"/>
      <c r="K27" s="5"/>
      <c r="L27" s="5"/>
      <c r="M27" s="5"/>
      <c r="N27" s="5"/>
      <c r="O27" s="5"/>
      <c r="P27" s="5"/>
      <c r="Q27" s="5"/>
      <c r="R27" s="224"/>
      <c r="S27" s="5"/>
      <c r="T27" s="221"/>
      <c r="U27" s="220"/>
      <c r="V27" s="42">
        <f t="shared" si="0"/>
        <v>27</v>
      </c>
      <c r="Y27" s="155"/>
      <c r="Z27" s="225" t="s">
        <v>251</v>
      </c>
      <c r="AA27" s="225" t="s">
        <v>252</v>
      </c>
      <c r="AB27" s="181"/>
      <c r="AC27" s="181"/>
      <c r="AD27" s="181"/>
    </row>
    <row r="28" spans="1:30" ht="20.100000000000001" customHeight="1" thickBot="1">
      <c r="A28" s="205"/>
      <c r="B28" s="206"/>
      <c r="C28" s="206" t="s">
        <v>253</v>
      </c>
      <c r="D28" s="208"/>
      <c r="E28" s="206"/>
      <c r="F28" s="207"/>
      <c r="G28" s="208"/>
      <c r="H28" s="221"/>
      <c r="I28" s="226"/>
      <c r="J28" s="5"/>
      <c r="K28" s="5"/>
      <c r="L28" s="5"/>
      <c r="M28" s="5"/>
      <c r="N28" s="5"/>
      <c r="O28" s="5"/>
      <c r="P28" s="5"/>
      <c r="Q28" s="5"/>
      <c r="R28" s="327">
        <v>323</v>
      </c>
      <c r="S28" s="207" t="s">
        <v>254</v>
      </c>
      <c r="T28" s="221"/>
      <c r="U28" s="220"/>
      <c r="V28" s="42">
        <f t="shared" si="0"/>
        <v>28</v>
      </c>
      <c r="W28" s="188" t="str">
        <f t="shared" ref="W28:W34" si="1">IF(R28="","未入力あり","✔")</f>
        <v>✔</v>
      </c>
      <c r="Y28" s="155"/>
      <c r="Z28" s="225">
        <v>0</v>
      </c>
      <c r="AA28" s="227">
        <v>1300</v>
      </c>
      <c r="AB28" s="181"/>
      <c r="AC28" s="181"/>
      <c r="AD28" s="181"/>
    </row>
    <row r="29" spans="1:30" ht="20.100000000000001" customHeight="1" thickBot="1">
      <c r="A29" s="205"/>
      <c r="B29" s="207"/>
      <c r="C29" s="206" t="s">
        <v>255</v>
      </c>
      <c r="D29" s="208"/>
      <c r="E29" s="206"/>
      <c r="F29" s="207"/>
      <c r="G29" s="208"/>
      <c r="H29" s="221"/>
      <c r="I29" s="226"/>
      <c r="J29" s="5"/>
      <c r="K29" s="5"/>
      <c r="L29" s="5"/>
      <c r="M29" s="5"/>
      <c r="N29" s="5"/>
      <c r="O29" s="5"/>
      <c r="P29" s="5"/>
      <c r="Q29" s="5"/>
      <c r="R29" s="327">
        <v>0</v>
      </c>
      <c r="S29" s="207" t="s">
        <v>254</v>
      </c>
      <c r="T29" s="221"/>
      <c r="U29" s="220"/>
      <c r="V29" s="42">
        <f t="shared" si="0"/>
        <v>29</v>
      </c>
      <c r="W29" s="188" t="str">
        <f t="shared" si="1"/>
        <v>✔</v>
      </c>
      <c r="Y29" s="155"/>
      <c r="Z29" s="225">
        <v>0</v>
      </c>
      <c r="AA29" s="227">
        <v>40</v>
      </c>
      <c r="AB29" s="181"/>
      <c r="AC29" s="181"/>
      <c r="AD29" s="181"/>
    </row>
    <row r="30" spans="1:30" ht="20.100000000000001" customHeight="1" thickBot="1">
      <c r="A30" s="205"/>
      <c r="B30" s="207"/>
      <c r="C30" s="206" t="s">
        <v>256</v>
      </c>
      <c r="D30" s="208"/>
      <c r="E30" s="206"/>
      <c r="F30" s="207"/>
      <c r="G30" s="208"/>
      <c r="H30" s="221"/>
      <c r="I30" s="226"/>
      <c r="J30" s="5"/>
      <c r="K30" s="5"/>
      <c r="L30" s="5"/>
      <c r="M30" s="5"/>
      <c r="N30" s="5"/>
      <c r="O30" s="5"/>
      <c r="P30" s="5"/>
      <c r="Q30" s="5"/>
      <c r="R30" s="327">
        <v>319</v>
      </c>
      <c r="S30" s="207" t="s">
        <v>254</v>
      </c>
      <c r="T30" s="221"/>
      <c r="U30" s="220"/>
      <c r="V30" s="42">
        <f t="shared" si="0"/>
        <v>30</v>
      </c>
      <c r="W30" s="188" t="str">
        <f t="shared" si="1"/>
        <v>✔</v>
      </c>
      <c r="Y30" s="155"/>
      <c r="Z30" s="225">
        <v>0</v>
      </c>
      <c r="AA30" s="227">
        <v>1200</v>
      </c>
      <c r="AB30" s="181"/>
      <c r="AC30" s="181"/>
      <c r="AD30" s="181"/>
    </row>
    <row r="31" spans="1:30" ht="20.100000000000001" customHeight="1" thickBot="1">
      <c r="A31" s="205"/>
      <c r="B31" s="206"/>
      <c r="C31" s="206" t="s">
        <v>257</v>
      </c>
      <c r="D31" s="206"/>
      <c r="E31" s="206"/>
      <c r="F31" s="207"/>
      <c r="G31" s="208"/>
      <c r="H31" s="221"/>
      <c r="I31" s="226"/>
      <c r="J31" s="5"/>
      <c r="K31" s="5"/>
      <c r="L31" s="5"/>
      <c r="M31" s="5"/>
      <c r="N31" s="5"/>
      <c r="O31" s="5"/>
      <c r="P31" s="5"/>
      <c r="Q31" s="5"/>
      <c r="R31" s="327">
        <v>0</v>
      </c>
      <c r="S31" s="207" t="s">
        <v>254</v>
      </c>
      <c r="T31" s="221"/>
      <c r="U31" s="220"/>
      <c r="V31" s="42">
        <f t="shared" si="0"/>
        <v>31</v>
      </c>
      <c r="W31" s="188" t="str">
        <f t="shared" si="1"/>
        <v>✔</v>
      </c>
      <c r="Y31" s="155"/>
      <c r="Z31" s="225">
        <v>0</v>
      </c>
      <c r="AA31" s="227">
        <v>420.34195260145873</v>
      </c>
      <c r="AB31" s="181"/>
      <c r="AC31" s="181"/>
      <c r="AD31" s="181"/>
    </row>
    <row r="32" spans="1:30" ht="19.5" customHeight="1" thickBot="1">
      <c r="A32" s="205"/>
      <c r="B32" s="207"/>
      <c r="C32" s="228" t="s">
        <v>258</v>
      </c>
      <c r="D32" s="228"/>
      <c r="E32" s="228"/>
      <c r="F32" s="229"/>
      <c r="G32" s="228"/>
      <c r="H32" s="221"/>
      <c r="I32" s="226"/>
      <c r="J32" s="5"/>
      <c r="K32" s="5"/>
      <c r="L32" s="5"/>
      <c r="M32" s="5"/>
      <c r="N32" s="5"/>
      <c r="O32" s="5"/>
      <c r="P32" s="5"/>
      <c r="Q32" s="5"/>
      <c r="R32" s="327">
        <v>4</v>
      </c>
      <c r="S32" s="207" t="s">
        <v>254</v>
      </c>
      <c r="T32" s="221"/>
      <c r="U32" s="220"/>
      <c r="V32" s="42">
        <f t="shared" si="0"/>
        <v>32</v>
      </c>
      <c r="W32" s="188" t="str">
        <f t="shared" si="1"/>
        <v>✔</v>
      </c>
      <c r="Y32" s="155"/>
      <c r="Z32" s="225">
        <v>0</v>
      </c>
      <c r="AA32" s="230">
        <v>100</v>
      </c>
      <c r="AB32" s="181"/>
      <c r="AC32" s="181"/>
      <c r="AD32" s="181"/>
    </row>
    <row r="33" spans="1:30" ht="18" customHeight="1" thickBot="1">
      <c r="A33" s="205"/>
      <c r="B33" s="206" t="s">
        <v>259</v>
      </c>
      <c r="C33" s="228"/>
      <c r="D33" s="228"/>
      <c r="E33" s="228"/>
      <c r="F33" s="229"/>
      <c r="G33" s="228"/>
      <c r="H33" s="221"/>
      <c r="I33" s="226"/>
      <c r="J33" s="5"/>
      <c r="K33" s="5"/>
      <c r="L33" s="5"/>
      <c r="M33" s="5"/>
      <c r="N33" s="5"/>
      <c r="O33" s="5"/>
      <c r="P33" s="5"/>
      <c r="Q33" s="5"/>
      <c r="R33" s="327">
        <v>15</v>
      </c>
      <c r="S33" s="207" t="s">
        <v>254</v>
      </c>
      <c r="T33" s="221"/>
      <c r="U33" s="220"/>
      <c r="V33" s="42">
        <v>37</v>
      </c>
      <c r="W33" s="188" t="str">
        <f>IF(R33="","未入力あり","✔")</f>
        <v>✔</v>
      </c>
      <c r="Y33" s="155"/>
      <c r="Z33" s="225">
        <v>0</v>
      </c>
      <c r="AA33" s="230">
        <v>100</v>
      </c>
      <c r="AB33" s="181"/>
      <c r="AC33" s="181"/>
      <c r="AD33" s="181"/>
    </row>
    <row r="34" spans="1:30" ht="47.25" customHeight="1" thickBot="1">
      <c r="A34" s="205" t="s">
        <v>260</v>
      </c>
      <c r="B34" s="206"/>
      <c r="C34" s="206"/>
      <c r="D34" s="206"/>
      <c r="E34" s="206"/>
      <c r="F34" s="207"/>
      <c r="G34" s="208"/>
      <c r="H34" s="208"/>
      <c r="I34" s="208"/>
      <c r="J34" s="208"/>
      <c r="K34" s="231"/>
      <c r="L34" s="231"/>
      <c r="M34" s="231"/>
      <c r="N34" s="231"/>
      <c r="O34" s="231"/>
      <c r="P34" s="231"/>
      <c r="Q34" s="232" t="s">
        <v>261</v>
      </c>
      <c r="R34" s="327">
        <v>832</v>
      </c>
      <c r="S34" s="207" t="s">
        <v>262</v>
      </c>
      <c r="T34" s="207"/>
      <c r="U34" s="220"/>
      <c r="V34" s="42">
        <f t="shared" si="0"/>
        <v>34</v>
      </c>
      <c r="W34" s="188" t="str">
        <f t="shared" si="1"/>
        <v>✔</v>
      </c>
      <c r="Y34" s="155"/>
      <c r="Z34" s="233">
        <v>0</v>
      </c>
      <c r="AA34" s="233">
        <v>3000</v>
      </c>
      <c r="AB34" s="181"/>
      <c r="AC34" s="181"/>
      <c r="AD34" s="181"/>
    </row>
    <row r="35" spans="1:30" ht="51.75" customHeight="1">
      <c r="A35" s="205"/>
      <c r="B35" s="207"/>
      <c r="C35" s="206"/>
      <c r="D35" s="1303" t="s">
        <v>263</v>
      </c>
      <c r="E35" s="1304"/>
      <c r="F35" s="1304"/>
      <c r="G35" s="1304"/>
      <c r="H35" s="1304"/>
      <c r="I35" s="1304"/>
      <c r="J35" s="1304"/>
      <c r="K35" s="1304"/>
      <c r="L35" s="1304"/>
      <c r="M35" s="1304"/>
      <c r="N35" s="1304"/>
      <c r="O35" s="1304"/>
      <c r="P35" s="1304"/>
      <c r="Q35" s="1304"/>
      <c r="R35" s="1304"/>
      <c r="S35" s="1304"/>
      <c r="T35" s="1304"/>
      <c r="U35" s="220"/>
      <c r="V35" s="42">
        <f t="shared" si="0"/>
        <v>35</v>
      </c>
      <c r="Y35" s="155"/>
    </row>
    <row r="36" spans="1:30" ht="20.100000000000001" customHeight="1">
      <c r="A36" s="205"/>
      <c r="B36" s="206"/>
      <c r="C36" s="206"/>
      <c r="D36" s="206"/>
      <c r="E36" s="206"/>
      <c r="F36" s="207"/>
      <c r="G36" s="208"/>
      <c r="H36" s="221"/>
      <c r="I36" s="226"/>
      <c r="J36" s="5"/>
      <c r="K36" s="5"/>
      <c r="L36" s="5"/>
      <c r="M36" s="5"/>
      <c r="N36" s="5"/>
      <c r="O36" s="5"/>
      <c r="P36" s="5"/>
      <c r="Q36" s="5"/>
      <c r="R36" s="226"/>
      <c r="S36" s="5"/>
      <c r="T36" s="207"/>
      <c r="U36" s="220"/>
      <c r="V36" s="42">
        <f t="shared" si="0"/>
        <v>36</v>
      </c>
      <c r="Y36" s="155"/>
      <c r="Z36" s="181"/>
      <c r="AA36" s="181"/>
      <c r="AB36" s="181"/>
      <c r="AC36" s="181"/>
      <c r="AD36" s="181"/>
    </row>
    <row r="37" spans="1:30" ht="20.100000000000001" customHeight="1">
      <c r="A37" s="205"/>
      <c r="B37" s="206" t="s">
        <v>264</v>
      </c>
      <c r="C37" s="206"/>
      <c r="D37" s="206"/>
      <c r="E37" s="206"/>
      <c r="F37" s="207"/>
      <c r="G37" s="208"/>
      <c r="H37" s="221"/>
      <c r="I37" s="226"/>
      <c r="J37" s="5"/>
      <c r="K37" s="5"/>
      <c r="L37" s="5"/>
      <c r="M37" s="5"/>
      <c r="N37" s="5"/>
      <c r="O37" s="5"/>
      <c r="P37" s="5"/>
      <c r="Q37" s="5"/>
      <c r="R37" s="226"/>
      <c r="S37" s="5"/>
      <c r="T37" s="207"/>
      <c r="U37" s="220"/>
      <c r="V37" s="42">
        <f t="shared" si="0"/>
        <v>37</v>
      </c>
      <c r="Y37" s="155"/>
      <c r="Z37" s="181"/>
      <c r="AA37" s="181"/>
      <c r="AB37" s="181"/>
      <c r="AC37" s="181"/>
      <c r="AD37" s="181"/>
    </row>
    <row r="38" spans="1:30" ht="21.75" customHeight="1">
      <c r="A38" s="205"/>
      <c r="B38" s="207"/>
      <c r="C38" s="206"/>
      <c r="D38" s="207" t="s">
        <v>265</v>
      </c>
      <c r="E38" s="9"/>
      <c r="F38" s="9"/>
      <c r="G38" s="9"/>
      <c r="H38" s="9"/>
      <c r="I38" s="226" t="s">
        <v>266</v>
      </c>
      <c r="J38" s="224"/>
      <c r="K38" s="5"/>
      <c r="L38" s="5"/>
      <c r="M38" s="5"/>
      <c r="N38" s="5"/>
      <c r="O38" s="224"/>
      <c r="P38" s="224"/>
      <c r="Q38" s="224"/>
      <c r="R38" s="224" t="s">
        <v>267</v>
      </c>
      <c r="S38" s="39"/>
      <c r="T38" s="207"/>
      <c r="U38" s="220"/>
      <c r="V38" s="42">
        <f t="shared" si="0"/>
        <v>38</v>
      </c>
      <c r="Y38" s="155"/>
      <c r="Z38" s="181"/>
      <c r="AA38" s="181"/>
      <c r="AB38" s="181"/>
      <c r="AC38" s="181"/>
      <c r="AD38" s="181"/>
    </row>
    <row r="39" spans="1:30" ht="30" customHeight="1" thickBot="1">
      <c r="A39" s="205"/>
      <c r="B39" s="207"/>
      <c r="C39" s="206"/>
      <c r="D39" s="926" t="s">
        <v>1379</v>
      </c>
      <c r="E39" s="927"/>
      <c r="F39" s="927"/>
      <c r="G39" s="39"/>
      <c r="H39" s="39"/>
      <c r="I39" s="234" t="s">
        <v>268</v>
      </c>
      <c r="J39" s="207"/>
      <c r="K39" s="5"/>
      <c r="L39" s="5"/>
      <c r="M39" s="5"/>
      <c r="N39" s="5"/>
      <c r="O39" s="221"/>
      <c r="P39" s="221"/>
      <c r="Q39" s="221"/>
      <c r="R39" s="235"/>
      <c r="S39" s="39"/>
      <c r="T39" s="39"/>
      <c r="U39" s="220"/>
      <c r="V39" s="42">
        <f t="shared" si="0"/>
        <v>39</v>
      </c>
      <c r="Y39" s="155"/>
      <c r="Z39" s="181"/>
      <c r="AA39" s="181"/>
      <c r="AB39" s="181"/>
      <c r="AC39" s="181"/>
      <c r="AD39" s="181"/>
    </row>
    <row r="40" spans="1:30" ht="20.100000000000001" customHeight="1" thickBot="1">
      <c r="A40" s="205"/>
      <c r="B40" s="206"/>
      <c r="C40" s="206" t="s">
        <v>269</v>
      </c>
      <c r="D40" s="928"/>
      <c r="E40" s="928"/>
      <c r="F40" s="926"/>
      <c r="G40" s="208"/>
      <c r="H40" s="221"/>
      <c r="I40" s="327">
        <v>16.68</v>
      </c>
      <c r="J40" s="207" t="s">
        <v>262</v>
      </c>
      <c r="K40" s="5"/>
      <c r="L40" s="5"/>
      <c r="M40" s="5"/>
      <c r="N40" s="5"/>
      <c r="O40" s="207"/>
      <c r="P40" s="207"/>
      <c r="Q40" s="207"/>
      <c r="R40" s="327">
        <v>89</v>
      </c>
      <c r="S40" s="207" t="s">
        <v>262</v>
      </c>
      <c r="T40" s="207"/>
      <c r="U40" s="220"/>
      <c r="V40" s="42">
        <f t="shared" si="0"/>
        <v>40</v>
      </c>
      <c r="W40" s="188" t="str">
        <f t="shared" ref="W40:W63" si="2">IF(OR(I40="",R40=""),"未入力あり","✔")</f>
        <v>✔</v>
      </c>
      <c r="Y40" s="155"/>
      <c r="Z40" s="233">
        <v>0</v>
      </c>
      <c r="AA40" s="233">
        <v>220</v>
      </c>
      <c r="AB40" s="233">
        <v>0</v>
      </c>
      <c r="AC40" s="233">
        <v>700</v>
      </c>
      <c r="AD40" s="181"/>
    </row>
    <row r="41" spans="1:30" ht="20.100000000000001" customHeight="1" thickBot="1">
      <c r="A41" s="205"/>
      <c r="B41" s="206"/>
      <c r="C41" s="206" t="s">
        <v>270</v>
      </c>
      <c r="D41" s="206"/>
      <c r="E41" s="206"/>
      <c r="F41" s="207"/>
      <c r="G41" s="208"/>
      <c r="H41" s="221"/>
      <c r="I41" s="327">
        <v>0.36</v>
      </c>
      <c r="J41" s="207" t="s">
        <v>262</v>
      </c>
      <c r="K41" s="5"/>
      <c r="L41" s="5"/>
      <c r="M41" s="5"/>
      <c r="N41" s="5"/>
      <c r="O41" s="207"/>
      <c r="P41" s="207"/>
      <c r="Q41" s="207"/>
      <c r="R41" s="327">
        <v>2</v>
      </c>
      <c r="S41" s="207" t="s">
        <v>262</v>
      </c>
      <c r="T41" s="207"/>
      <c r="U41" s="220"/>
      <c r="V41" s="42">
        <f t="shared" si="0"/>
        <v>41</v>
      </c>
      <c r="W41" s="188" t="str">
        <f t="shared" si="2"/>
        <v>✔</v>
      </c>
      <c r="Y41" s="155"/>
      <c r="Z41" s="233">
        <v>0</v>
      </c>
      <c r="AA41" s="233">
        <v>30</v>
      </c>
      <c r="AB41" s="233">
        <v>0</v>
      </c>
      <c r="AC41" s="233">
        <v>70</v>
      </c>
      <c r="AD41" s="181"/>
    </row>
    <row r="42" spans="1:30" ht="20.100000000000001" customHeight="1" thickBot="1">
      <c r="A42" s="205"/>
      <c r="B42" s="206"/>
      <c r="C42" s="206" t="s">
        <v>271</v>
      </c>
      <c r="D42" s="206"/>
      <c r="E42" s="206"/>
      <c r="F42" s="207"/>
      <c r="G42" s="208"/>
      <c r="H42" s="221"/>
      <c r="I42" s="327">
        <v>1.69</v>
      </c>
      <c r="J42" s="207" t="s">
        <v>262</v>
      </c>
      <c r="K42" s="207"/>
      <c r="L42" s="207"/>
      <c r="M42" s="207"/>
      <c r="N42" s="207"/>
      <c r="O42" s="207"/>
      <c r="P42" s="207"/>
      <c r="Q42" s="207"/>
      <c r="R42" s="327">
        <v>25</v>
      </c>
      <c r="S42" s="207" t="s">
        <v>262</v>
      </c>
      <c r="T42" s="207"/>
      <c r="U42" s="220"/>
      <c r="V42" s="42">
        <f t="shared" si="0"/>
        <v>42</v>
      </c>
      <c r="W42" s="188" t="str">
        <f t="shared" si="2"/>
        <v>✔</v>
      </c>
      <c r="Y42" s="155"/>
      <c r="Z42" s="233">
        <v>0</v>
      </c>
      <c r="AA42" s="233">
        <v>10</v>
      </c>
      <c r="AB42" s="233">
        <v>0</v>
      </c>
      <c r="AC42" s="233">
        <v>100</v>
      </c>
      <c r="AD42" s="181"/>
    </row>
    <row r="43" spans="1:30" ht="20.100000000000001" customHeight="1" thickBot="1">
      <c r="A43" s="205"/>
      <c r="B43" s="206"/>
      <c r="C43" s="206" t="s">
        <v>272</v>
      </c>
      <c r="D43" s="206"/>
      <c r="E43" s="206"/>
      <c r="F43" s="207"/>
      <c r="G43" s="208"/>
      <c r="H43" s="221"/>
      <c r="I43" s="327">
        <v>1.51</v>
      </c>
      <c r="J43" s="207" t="s">
        <v>262</v>
      </c>
      <c r="K43" s="207"/>
      <c r="L43" s="207"/>
      <c r="M43" s="207"/>
      <c r="N43" s="207"/>
      <c r="O43" s="207"/>
      <c r="P43" s="207"/>
      <c r="Q43" s="207"/>
      <c r="R43" s="327">
        <v>4</v>
      </c>
      <c r="S43" s="207" t="s">
        <v>262</v>
      </c>
      <c r="T43" s="207"/>
      <c r="U43" s="220"/>
      <c r="V43" s="42">
        <f t="shared" si="0"/>
        <v>43</v>
      </c>
      <c r="W43" s="188" t="str">
        <f t="shared" si="2"/>
        <v>✔</v>
      </c>
      <c r="Y43" s="155"/>
      <c r="Z43" s="233">
        <v>0</v>
      </c>
      <c r="AA43" s="233">
        <v>10</v>
      </c>
      <c r="AB43" s="233">
        <v>0</v>
      </c>
      <c r="AC43" s="233">
        <v>50</v>
      </c>
      <c r="AD43" s="181"/>
    </row>
    <row r="44" spans="1:30" ht="20.100000000000001" customHeight="1" thickBot="1">
      <c r="A44" s="205"/>
      <c r="B44" s="206"/>
      <c r="C44" s="206" t="s">
        <v>273</v>
      </c>
      <c r="D44" s="206"/>
      <c r="E44" s="206"/>
      <c r="F44" s="207"/>
      <c r="G44" s="208"/>
      <c r="H44" s="221"/>
      <c r="I44" s="327">
        <v>1.0900000000000001</v>
      </c>
      <c r="J44" s="207" t="s">
        <v>262</v>
      </c>
      <c r="K44" s="207"/>
      <c r="L44" s="207"/>
      <c r="M44" s="207"/>
      <c r="N44" s="207"/>
      <c r="O44" s="207"/>
      <c r="P44" s="207"/>
      <c r="Q44" s="207"/>
      <c r="R44" s="327">
        <v>4</v>
      </c>
      <c r="S44" s="207" t="s">
        <v>262</v>
      </c>
      <c r="T44" s="207"/>
      <c r="U44" s="220"/>
      <c r="V44" s="42">
        <f t="shared" si="0"/>
        <v>44</v>
      </c>
      <c r="W44" s="188" t="str">
        <f t="shared" si="2"/>
        <v>✔</v>
      </c>
      <c r="Y44" s="155"/>
      <c r="Z44" s="233">
        <v>0</v>
      </c>
      <c r="AA44" s="233">
        <v>10</v>
      </c>
      <c r="AB44" s="233">
        <v>0</v>
      </c>
      <c r="AC44" s="233">
        <v>90</v>
      </c>
      <c r="AD44" s="181"/>
    </row>
    <row r="45" spans="1:30" ht="20.100000000000001" customHeight="1" thickBot="1">
      <c r="A45" s="205"/>
      <c r="B45" s="206"/>
      <c r="C45" s="206" t="s">
        <v>274</v>
      </c>
      <c r="D45" s="206"/>
      <c r="E45" s="206"/>
      <c r="F45" s="207"/>
      <c r="G45" s="208"/>
      <c r="H45" s="221"/>
      <c r="I45" s="327">
        <v>18.29</v>
      </c>
      <c r="J45" s="207" t="s">
        <v>262</v>
      </c>
      <c r="K45" s="207"/>
      <c r="L45" s="207"/>
      <c r="M45" s="207"/>
      <c r="N45" s="207"/>
      <c r="O45" s="207"/>
      <c r="P45" s="207"/>
      <c r="Q45" s="207"/>
      <c r="R45" s="327">
        <v>327</v>
      </c>
      <c r="S45" s="207" t="s">
        <v>262</v>
      </c>
      <c r="T45" s="207"/>
      <c r="U45" s="220"/>
      <c r="V45" s="42">
        <f t="shared" si="0"/>
        <v>45</v>
      </c>
      <c r="W45" s="188" t="str">
        <f t="shared" si="2"/>
        <v>✔</v>
      </c>
      <c r="Y45" s="155"/>
      <c r="Z45" s="233">
        <v>0</v>
      </c>
      <c r="AA45" s="233">
        <v>70</v>
      </c>
      <c r="AB45" s="233">
        <v>0</v>
      </c>
      <c r="AC45" s="233">
        <v>1400</v>
      </c>
      <c r="AD45" s="181"/>
    </row>
    <row r="46" spans="1:30" ht="20.100000000000001" customHeight="1" thickBot="1">
      <c r="A46" s="205"/>
      <c r="B46" s="206"/>
      <c r="C46" s="206" t="s">
        <v>275</v>
      </c>
      <c r="D46" s="206"/>
      <c r="E46" s="206"/>
      <c r="F46" s="207"/>
      <c r="G46" s="208"/>
      <c r="H46" s="221"/>
      <c r="I46" s="327">
        <v>0</v>
      </c>
      <c r="J46" s="207" t="s">
        <v>262</v>
      </c>
      <c r="K46" s="207"/>
      <c r="L46" s="207"/>
      <c r="M46" s="207"/>
      <c r="N46" s="207"/>
      <c r="O46" s="207"/>
      <c r="P46" s="207"/>
      <c r="Q46" s="207"/>
      <c r="R46" s="327">
        <v>0</v>
      </c>
      <c r="S46" s="207" t="s">
        <v>262</v>
      </c>
      <c r="T46" s="207"/>
      <c r="U46" s="220"/>
      <c r="V46" s="42">
        <f t="shared" si="0"/>
        <v>46</v>
      </c>
      <c r="W46" s="188" t="str">
        <f t="shared" si="2"/>
        <v>✔</v>
      </c>
      <c r="Y46" s="155"/>
      <c r="Z46" s="233">
        <v>0</v>
      </c>
      <c r="AA46" s="233">
        <v>10</v>
      </c>
      <c r="AB46" s="233">
        <v>0</v>
      </c>
      <c r="AC46" s="233">
        <v>20</v>
      </c>
      <c r="AD46" s="181"/>
    </row>
    <row r="47" spans="1:30" ht="20.100000000000001" customHeight="1" thickBot="1">
      <c r="A47" s="205"/>
      <c r="B47" s="206"/>
      <c r="C47" s="206" t="s">
        <v>276</v>
      </c>
      <c r="D47" s="206"/>
      <c r="E47" s="206"/>
      <c r="F47" s="207"/>
      <c r="G47" s="208"/>
      <c r="H47" s="221"/>
      <c r="I47" s="327">
        <v>0.63</v>
      </c>
      <c r="J47" s="207" t="s">
        <v>262</v>
      </c>
      <c r="K47" s="207"/>
      <c r="L47" s="207"/>
      <c r="M47" s="207"/>
      <c r="N47" s="207"/>
      <c r="O47" s="207"/>
      <c r="P47" s="207"/>
      <c r="Q47" s="207"/>
      <c r="R47" s="327">
        <v>19</v>
      </c>
      <c r="S47" s="207" t="s">
        <v>262</v>
      </c>
      <c r="T47" s="207"/>
      <c r="U47" s="220"/>
      <c r="V47" s="42">
        <f t="shared" si="0"/>
        <v>47</v>
      </c>
      <c r="W47" s="188" t="str">
        <f t="shared" si="2"/>
        <v>✔</v>
      </c>
      <c r="Y47" s="155"/>
      <c r="Z47" s="233">
        <v>0</v>
      </c>
      <c r="AA47" s="233">
        <v>10</v>
      </c>
      <c r="AB47" s="233">
        <v>0</v>
      </c>
      <c r="AC47" s="233">
        <v>90</v>
      </c>
      <c r="AD47" s="181"/>
    </row>
    <row r="48" spans="1:30" ht="20.100000000000001" customHeight="1" thickBot="1">
      <c r="A48" s="205"/>
      <c r="B48" s="206"/>
      <c r="C48" s="206" t="s">
        <v>277</v>
      </c>
      <c r="D48" s="206"/>
      <c r="E48" s="206"/>
      <c r="F48" s="207"/>
      <c r="G48" s="208"/>
      <c r="H48" s="221"/>
      <c r="I48" s="327">
        <v>0</v>
      </c>
      <c r="J48" s="207" t="s">
        <v>262</v>
      </c>
      <c r="K48" s="207"/>
      <c r="L48" s="207"/>
      <c r="M48" s="207"/>
      <c r="N48" s="207"/>
      <c r="O48" s="207"/>
      <c r="P48" s="207"/>
      <c r="Q48" s="207"/>
      <c r="R48" s="327">
        <v>7</v>
      </c>
      <c r="S48" s="207" t="s">
        <v>262</v>
      </c>
      <c r="T48" s="207"/>
      <c r="U48" s="220"/>
      <c r="V48" s="42">
        <f t="shared" si="0"/>
        <v>48</v>
      </c>
      <c r="W48" s="188" t="str">
        <f t="shared" si="2"/>
        <v>✔</v>
      </c>
      <c r="Y48" s="155"/>
      <c r="Z48" s="233">
        <v>0</v>
      </c>
      <c r="AA48" s="233">
        <v>10</v>
      </c>
      <c r="AB48" s="233">
        <v>0</v>
      </c>
      <c r="AC48" s="233">
        <v>30</v>
      </c>
      <c r="AD48" s="181"/>
    </row>
    <row r="49" spans="1:30" ht="18" thickBot="1">
      <c r="A49" s="205"/>
      <c r="B49" s="206"/>
      <c r="C49" s="206" t="s">
        <v>278</v>
      </c>
      <c r="D49" s="206"/>
      <c r="E49" s="206"/>
      <c r="F49" s="207"/>
      <c r="G49" s="208"/>
      <c r="H49" s="221"/>
      <c r="I49" s="327">
        <v>0.56000000000000005</v>
      </c>
      <c r="J49" s="207" t="s">
        <v>262</v>
      </c>
      <c r="K49" s="207"/>
      <c r="L49" s="207"/>
      <c r="M49" s="207"/>
      <c r="N49" s="207"/>
      <c r="O49" s="207"/>
      <c r="P49" s="207"/>
      <c r="Q49" s="207"/>
      <c r="R49" s="327">
        <v>3</v>
      </c>
      <c r="S49" s="207" t="s">
        <v>262</v>
      </c>
      <c r="T49" s="207"/>
      <c r="U49" s="220"/>
      <c r="V49" s="42">
        <f t="shared" si="0"/>
        <v>49</v>
      </c>
      <c r="W49" s="188" t="str">
        <f t="shared" si="2"/>
        <v>✔</v>
      </c>
      <c r="Y49" s="155"/>
      <c r="Z49" s="233">
        <v>0</v>
      </c>
      <c r="AA49" s="233">
        <v>10</v>
      </c>
      <c r="AB49" s="233">
        <v>0</v>
      </c>
      <c r="AC49" s="233">
        <v>20</v>
      </c>
      <c r="AD49" s="181"/>
    </row>
    <row r="50" spans="1:30" ht="20.100000000000001" customHeight="1" thickBot="1">
      <c r="A50" s="205"/>
      <c r="B50" s="206"/>
      <c r="C50" s="206" t="s">
        <v>279</v>
      </c>
      <c r="D50" s="206"/>
      <c r="E50" s="206"/>
      <c r="F50" s="207"/>
      <c r="G50" s="208"/>
      <c r="H50" s="221"/>
      <c r="I50" s="327">
        <v>0.45200000000000001</v>
      </c>
      <c r="J50" s="207" t="s">
        <v>262</v>
      </c>
      <c r="K50" s="207"/>
      <c r="L50" s="207"/>
      <c r="M50" s="207"/>
      <c r="N50" s="207"/>
      <c r="O50" s="207"/>
      <c r="P50" s="207"/>
      <c r="Q50" s="207"/>
      <c r="R50" s="327">
        <v>4</v>
      </c>
      <c r="S50" s="207" t="s">
        <v>262</v>
      </c>
      <c r="T50" s="207"/>
      <c r="U50" s="220"/>
      <c r="V50" s="42">
        <f t="shared" si="0"/>
        <v>50</v>
      </c>
      <c r="W50" s="188" t="str">
        <f t="shared" si="2"/>
        <v>✔</v>
      </c>
      <c r="Y50" s="155"/>
      <c r="Z50" s="233">
        <v>0</v>
      </c>
      <c r="AA50" s="233">
        <v>10</v>
      </c>
      <c r="AB50" s="233">
        <v>0</v>
      </c>
      <c r="AC50" s="233">
        <v>20</v>
      </c>
      <c r="AD50" s="181"/>
    </row>
    <row r="51" spans="1:30" ht="20.100000000000001" customHeight="1" thickBot="1">
      <c r="A51" s="205"/>
      <c r="B51" s="206"/>
      <c r="C51" s="206" t="s">
        <v>280</v>
      </c>
      <c r="D51" s="206"/>
      <c r="E51" s="206"/>
      <c r="F51" s="207"/>
      <c r="G51" s="208"/>
      <c r="H51" s="221"/>
      <c r="I51" s="327">
        <v>0</v>
      </c>
      <c r="J51" s="207" t="s">
        <v>262</v>
      </c>
      <c r="K51" s="207"/>
      <c r="L51" s="207"/>
      <c r="M51" s="207"/>
      <c r="N51" s="207"/>
      <c r="O51" s="207"/>
      <c r="P51" s="207"/>
      <c r="Q51" s="207"/>
      <c r="R51" s="327">
        <v>0</v>
      </c>
      <c r="S51" s="207" t="s">
        <v>262</v>
      </c>
      <c r="T51" s="207"/>
      <c r="U51" s="220"/>
      <c r="V51" s="42">
        <f t="shared" si="0"/>
        <v>51</v>
      </c>
      <c r="W51" s="188" t="str">
        <f t="shared" si="2"/>
        <v>✔</v>
      </c>
      <c r="Y51" s="155"/>
      <c r="Z51" s="233">
        <v>0</v>
      </c>
      <c r="AA51" s="233">
        <v>10</v>
      </c>
      <c r="AB51" s="233">
        <v>0</v>
      </c>
      <c r="AC51" s="233">
        <v>10</v>
      </c>
      <c r="AD51" s="181"/>
    </row>
    <row r="52" spans="1:30" ht="20.100000000000001" customHeight="1" thickBot="1">
      <c r="A52" s="205"/>
      <c r="B52" s="206"/>
      <c r="C52" s="206" t="s">
        <v>281</v>
      </c>
      <c r="D52" s="206"/>
      <c r="E52" s="206"/>
      <c r="F52" s="207"/>
      <c r="G52" s="208"/>
      <c r="H52" s="221"/>
      <c r="I52" s="327">
        <v>2.0499999999999998</v>
      </c>
      <c r="J52" s="207" t="s">
        <v>262</v>
      </c>
      <c r="K52" s="207"/>
      <c r="L52" s="207"/>
      <c r="M52" s="207"/>
      <c r="N52" s="207"/>
      <c r="O52" s="207"/>
      <c r="P52" s="207"/>
      <c r="Q52" s="207"/>
      <c r="R52" s="327">
        <v>3</v>
      </c>
      <c r="S52" s="207" t="s">
        <v>262</v>
      </c>
      <c r="T52" s="207"/>
      <c r="U52" s="220"/>
      <c r="V52" s="42">
        <f t="shared" si="0"/>
        <v>52</v>
      </c>
      <c r="W52" s="188" t="str">
        <f t="shared" si="2"/>
        <v>✔</v>
      </c>
      <c r="Y52" s="155"/>
      <c r="Z52" s="233">
        <v>0</v>
      </c>
      <c r="AA52" s="233">
        <v>10</v>
      </c>
      <c r="AB52" s="233">
        <v>0</v>
      </c>
      <c r="AC52" s="233">
        <v>20</v>
      </c>
      <c r="AD52" s="181"/>
    </row>
    <row r="53" spans="1:30" ht="20.100000000000001" customHeight="1" thickBot="1">
      <c r="A53" s="205"/>
      <c r="B53" s="206"/>
      <c r="C53" s="206" t="s">
        <v>282</v>
      </c>
      <c r="D53" s="206"/>
      <c r="E53" s="206"/>
      <c r="F53" s="207"/>
      <c r="G53" s="208"/>
      <c r="H53" s="221"/>
      <c r="I53" s="327">
        <v>0</v>
      </c>
      <c r="J53" s="207" t="s">
        <v>262</v>
      </c>
      <c r="K53" s="207"/>
      <c r="L53" s="207"/>
      <c r="M53" s="207"/>
      <c r="N53" s="207"/>
      <c r="O53" s="207"/>
      <c r="P53" s="207"/>
      <c r="Q53" s="207"/>
      <c r="R53" s="327">
        <v>0</v>
      </c>
      <c r="S53" s="207" t="s">
        <v>262</v>
      </c>
      <c r="T53" s="207"/>
      <c r="U53" s="220"/>
      <c r="V53" s="42">
        <f t="shared" si="0"/>
        <v>53</v>
      </c>
      <c r="W53" s="188" t="str">
        <f t="shared" si="2"/>
        <v>✔</v>
      </c>
      <c r="Y53" s="155"/>
      <c r="Z53" s="233">
        <v>0</v>
      </c>
      <c r="AA53" s="233">
        <v>10</v>
      </c>
      <c r="AB53" s="233">
        <v>0</v>
      </c>
      <c r="AC53" s="233">
        <v>10</v>
      </c>
      <c r="AD53" s="181"/>
    </row>
    <row r="54" spans="1:30" ht="20.100000000000001" customHeight="1" thickBot="1">
      <c r="A54" s="205"/>
      <c r="B54" s="206"/>
      <c r="C54" s="206" t="s">
        <v>283</v>
      </c>
      <c r="D54" s="206"/>
      <c r="E54" s="206"/>
      <c r="F54" s="207"/>
      <c r="G54" s="208"/>
      <c r="H54" s="221"/>
      <c r="I54" s="327">
        <v>0.95</v>
      </c>
      <c r="J54" s="207" t="s">
        <v>262</v>
      </c>
      <c r="K54" s="207"/>
      <c r="L54" s="207"/>
      <c r="M54" s="207"/>
      <c r="N54" s="207"/>
      <c r="O54" s="207"/>
      <c r="P54" s="207"/>
      <c r="Q54" s="207"/>
      <c r="R54" s="327">
        <v>23</v>
      </c>
      <c r="S54" s="207" t="s">
        <v>262</v>
      </c>
      <c r="T54" s="207"/>
      <c r="U54" s="220"/>
      <c r="V54" s="42">
        <f t="shared" si="0"/>
        <v>54</v>
      </c>
      <c r="W54" s="188" t="str">
        <f t="shared" si="2"/>
        <v>✔</v>
      </c>
      <c r="Y54" s="155"/>
      <c r="Z54" s="233">
        <v>0</v>
      </c>
      <c r="AA54" s="233">
        <v>10</v>
      </c>
      <c r="AB54" s="233">
        <v>0</v>
      </c>
      <c r="AC54" s="233">
        <v>80</v>
      </c>
      <c r="AD54" s="181"/>
    </row>
    <row r="55" spans="1:30" ht="20.100000000000001" customHeight="1" thickBot="1">
      <c r="A55" s="205"/>
      <c r="B55" s="206"/>
      <c r="C55" s="206" t="s">
        <v>284</v>
      </c>
      <c r="D55" s="206"/>
      <c r="E55" s="206"/>
      <c r="F55" s="207"/>
      <c r="G55" s="208"/>
      <c r="H55" s="221"/>
      <c r="I55" s="327">
        <v>0.63</v>
      </c>
      <c r="J55" s="207" t="s">
        <v>262</v>
      </c>
      <c r="K55" s="207"/>
      <c r="L55" s="207"/>
      <c r="M55" s="207"/>
      <c r="N55" s="207"/>
      <c r="O55" s="207"/>
      <c r="P55" s="207"/>
      <c r="Q55" s="207"/>
      <c r="R55" s="327">
        <v>31</v>
      </c>
      <c r="S55" s="207" t="s">
        <v>262</v>
      </c>
      <c r="T55" s="207"/>
      <c r="U55" s="220"/>
      <c r="V55" s="42">
        <f t="shared" si="0"/>
        <v>55</v>
      </c>
      <c r="W55" s="188" t="str">
        <f t="shared" si="2"/>
        <v>✔</v>
      </c>
      <c r="Y55" s="155"/>
      <c r="Z55" s="233">
        <v>0</v>
      </c>
      <c r="AA55" s="233">
        <v>20</v>
      </c>
      <c r="AB55" s="233">
        <v>0</v>
      </c>
      <c r="AC55" s="233">
        <v>120</v>
      </c>
      <c r="AD55" s="181"/>
    </row>
    <row r="56" spans="1:30" ht="20.100000000000001" customHeight="1" thickBot="1">
      <c r="A56" s="205"/>
      <c r="B56" s="206"/>
      <c r="C56" s="206" t="s">
        <v>285</v>
      </c>
      <c r="D56" s="206"/>
      <c r="E56" s="206"/>
      <c r="F56" s="207"/>
      <c r="G56" s="208"/>
      <c r="H56" s="221"/>
      <c r="I56" s="327">
        <v>0</v>
      </c>
      <c r="J56" s="207" t="s">
        <v>262</v>
      </c>
      <c r="K56" s="207"/>
      <c r="L56" s="207"/>
      <c r="M56" s="207"/>
      <c r="N56" s="207"/>
      <c r="O56" s="207"/>
      <c r="P56" s="207"/>
      <c r="Q56" s="207"/>
      <c r="R56" s="327">
        <v>0</v>
      </c>
      <c r="S56" s="207" t="s">
        <v>262</v>
      </c>
      <c r="T56" s="207"/>
      <c r="U56" s="220"/>
      <c r="V56" s="42">
        <f t="shared" si="0"/>
        <v>56</v>
      </c>
      <c r="W56" s="188" t="str">
        <f t="shared" si="2"/>
        <v>✔</v>
      </c>
      <c r="Y56" s="155"/>
      <c r="Z56" s="233">
        <v>0</v>
      </c>
      <c r="AA56" s="233">
        <v>10</v>
      </c>
      <c r="AB56" s="233">
        <v>0</v>
      </c>
      <c r="AC56" s="233">
        <v>10</v>
      </c>
      <c r="AD56" s="181"/>
    </row>
    <row r="57" spans="1:30" ht="20.100000000000001" customHeight="1" thickBot="1">
      <c r="A57" s="205"/>
      <c r="B57" s="206"/>
      <c r="C57" s="206" t="s">
        <v>286</v>
      </c>
      <c r="D57" s="206"/>
      <c r="E57" s="206"/>
      <c r="F57" s="207"/>
      <c r="G57" s="208"/>
      <c r="H57" s="221"/>
      <c r="I57" s="327">
        <v>0</v>
      </c>
      <c r="J57" s="207" t="s">
        <v>262</v>
      </c>
      <c r="K57" s="207"/>
      <c r="L57" s="207"/>
      <c r="M57" s="207"/>
      <c r="N57" s="207"/>
      <c r="O57" s="207"/>
      <c r="P57" s="207"/>
      <c r="Q57" s="207"/>
      <c r="R57" s="327">
        <v>9</v>
      </c>
      <c r="S57" s="207" t="s">
        <v>262</v>
      </c>
      <c r="T57" s="207"/>
      <c r="U57" s="220"/>
      <c r="V57" s="42">
        <f t="shared" si="0"/>
        <v>57</v>
      </c>
      <c r="W57" s="188" t="str">
        <f t="shared" si="2"/>
        <v>✔</v>
      </c>
      <c r="Y57" s="155"/>
      <c r="Z57" s="233">
        <v>0</v>
      </c>
      <c r="AA57" s="233">
        <v>10</v>
      </c>
      <c r="AB57" s="233">
        <v>0</v>
      </c>
      <c r="AC57" s="233">
        <v>50</v>
      </c>
      <c r="AD57" s="181"/>
    </row>
    <row r="58" spans="1:30" ht="20.100000000000001" customHeight="1" thickBot="1">
      <c r="A58" s="205"/>
      <c r="B58" s="206"/>
      <c r="C58" s="206" t="s">
        <v>287</v>
      </c>
      <c r="D58" s="206"/>
      <c r="E58" s="206"/>
      <c r="F58" s="207"/>
      <c r="G58" s="208"/>
      <c r="H58" s="221"/>
      <c r="I58" s="327">
        <v>0</v>
      </c>
      <c r="J58" s="207" t="s">
        <v>262</v>
      </c>
      <c r="K58" s="207"/>
      <c r="L58" s="207"/>
      <c r="M58" s="207"/>
      <c r="N58" s="207"/>
      <c r="O58" s="207"/>
      <c r="P58" s="207"/>
      <c r="Q58" s="207"/>
      <c r="R58" s="327">
        <v>7</v>
      </c>
      <c r="S58" s="207" t="s">
        <v>262</v>
      </c>
      <c r="T58" s="207"/>
      <c r="U58" s="220"/>
      <c r="V58" s="42">
        <f t="shared" si="0"/>
        <v>58</v>
      </c>
      <c r="W58" s="188" t="str">
        <f t="shared" si="2"/>
        <v>✔</v>
      </c>
      <c r="Y58" s="155"/>
      <c r="Z58" s="233">
        <v>0</v>
      </c>
      <c r="AA58" s="233">
        <v>10</v>
      </c>
      <c r="AB58" s="233">
        <v>0</v>
      </c>
      <c r="AC58" s="233">
        <v>30</v>
      </c>
      <c r="AD58" s="181"/>
    </row>
    <row r="59" spans="1:30" ht="18" thickBot="1">
      <c r="A59" s="205"/>
      <c r="B59" s="206"/>
      <c r="C59" s="206" t="s">
        <v>288</v>
      </c>
      <c r="D59" s="206"/>
      <c r="E59" s="206"/>
      <c r="F59" s="207"/>
      <c r="G59" s="208"/>
      <c r="H59" s="221"/>
      <c r="I59" s="327">
        <v>0</v>
      </c>
      <c r="J59" s="207" t="s">
        <v>262</v>
      </c>
      <c r="K59" s="207"/>
      <c r="L59" s="207"/>
      <c r="M59" s="207"/>
      <c r="N59" s="207"/>
      <c r="O59" s="207"/>
      <c r="P59" s="207"/>
      <c r="Q59" s="207"/>
      <c r="R59" s="327">
        <v>0</v>
      </c>
      <c r="S59" s="207" t="s">
        <v>262</v>
      </c>
      <c r="T59" s="207"/>
      <c r="U59" s="220"/>
      <c r="V59" s="42">
        <f t="shared" si="0"/>
        <v>59</v>
      </c>
      <c r="W59" s="188" t="str">
        <f t="shared" si="2"/>
        <v>✔</v>
      </c>
      <c r="Y59" s="155"/>
      <c r="Z59" s="233">
        <v>0</v>
      </c>
      <c r="AA59" s="233">
        <v>10</v>
      </c>
      <c r="AB59" s="233">
        <v>0</v>
      </c>
      <c r="AC59" s="233">
        <v>10</v>
      </c>
      <c r="AD59" s="181"/>
    </row>
    <row r="60" spans="1:30" ht="20.100000000000001" customHeight="1" thickBot="1">
      <c r="A60" s="205"/>
      <c r="B60" s="206"/>
      <c r="C60" s="206" t="s">
        <v>289</v>
      </c>
      <c r="D60" s="206"/>
      <c r="E60" s="206"/>
      <c r="F60" s="207"/>
      <c r="G60" s="208"/>
      <c r="H60" s="236"/>
      <c r="I60" s="327">
        <v>0</v>
      </c>
      <c r="J60" s="207" t="s">
        <v>262</v>
      </c>
      <c r="K60" s="207"/>
      <c r="L60" s="207"/>
      <c r="M60" s="207"/>
      <c r="N60" s="207"/>
      <c r="O60" s="207"/>
      <c r="P60" s="207"/>
      <c r="Q60" s="207"/>
      <c r="R60" s="327">
        <v>5</v>
      </c>
      <c r="S60" s="207" t="s">
        <v>262</v>
      </c>
      <c r="T60" s="207"/>
      <c r="U60" s="220"/>
      <c r="V60" s="42">
        <f t="shared" si="0"/>
        <v>60</v>
      </c>
      <c r="W60" s="188" t="str">
        <f t="shared" si="2"/>
        <v>✔</v>
      </c>
      <c r="Y60" s="155"/>
      <c r="Z60" s="233">
        <v>0</v>
      </c>
      <c r="AA60" s="233">
        <v>10</v>
      </c>
      <c r="AB60" s="233">
        <v>0</v>
      </c>
      <c r="AC60" s="233">
        <v>20</v>
      </c>
      <c r="AD60" s="181"/>
    </row>
    <row r="61" spans="1:30" ht="20.100000000000001" customHeight="1" thickBot="1">
      <c r="A61" s="205"/>
      <c r="B61" s="206"/>
      <c r="C61" s="206" t="s">
        <v>290</v>
      </c>
      <c r="D61" s="206"/>
      <c r="E61" s="206"/>
      <c r="F61" s="207"/>
      <c r="G61" s="208"/>
      <c r="H61" s="221"/>
      <c r="I61" s="327">
        <v>0</v>
      </c>
      <c r="J61" s="207" t="s">
        <v>262</v>
      </c>
      <c r="K61" s="207"/>
      <c r="L61" s="207"/>
      <c r="M61" s="207"/>
      <c r="N61" s="207"/>
      <c r="O61" s="207"/>
      <c r="P61" s="207"/>
      <c r="Q61" s="207"/>
      <c r="R61" s="327">
        <v>0</v>
      </c>
      <c r="S61" s="207" t="s">
        <v>262</v>
      </c>
      <c r="T61" s="207"/>
      <c r="U61" s="220"/>
      <c r="V61" s="42">
        <f t="shared" si="0"/>
        <v>61</v>
      </c>
      <c r="W61" s="188" t="str">
        <f t="shared" si="2"/>
        <v>✔</v>
      </c>
      <c r="Y61" s="155"/>
      <c r="Z61" s="233">
        <v>0</v>
      </c>
      <c r="AA61" s="233">
        <v>10</v>
      </c>
      <c r="AB61" s="233">
        <v>0</v>
      </c>
      <c r="AC61" s="233">
        <v>10</v>
      </c>
      <c r="AD61" s="181"/>
    </row>
    <row r="62" spans="1:30" ht="20.100000000000001" customHeight="1" thickBot="1">
      <c r="A62" s="205"/>
      <c r="B62" s="206"/>
      <c r="C62" s="206" t="s">
        <v>291</v>
      </c>
      <c r="D62" s="206"/>
      <c r="E62" s="206"/>
      <c r="F62" s="207"/>
      <c r="G62" s="208"/>
      <c r="H62" s="221"/>
      <c r="I62" s="327">
        <v>0</v>
      </c>
      <c r="J62" s="207" t="s">
        <v>262</v>
      </c>
      <c r="K62" s="207"/>
      <c r="L62" s="207"/>
      <c r="M62" s="207"/>
      <c r="N62" s="207"/>
      <c r="O62" s="207"/>
      <c r="P62" s="207"/>
      <c r="Q62" s="207"/>
      <c r="R62" s="327">
        <v>1</v>
      </c>
      <c r="S62" s="207" t="s">
        <v>262</v>
      </c>
      <c r="T62" s="207"/>
      <c r="U62" s="220"/>
      <c r="V62" s="42">
        <f t="shared" si="0"/>
        <v>62</v>
      </c>
      <c r="W62" s="188" t="str">
        <f t="shared" si="2"/>
        <v>✔</v>
      </c>
      <c r="Y62" s="155"/>
      <c r="Z62" s="233">
        <v>0</v>
      </c>
      <c r="AA62" s="233">
        <v>10</v>
      </c>
      <c r="AB62" s="233">
        <v>0</v>
      </c>
      <c r="AC62" s="233">
        <v>10</v>
      </c>
      <c r="AD62" s="181"/>
    </row>
    <row r="63" spans="1:30" ht="20.100000000000001" customHeight="1" thickBot="1">
      <c r="A63" s="205"/>
      <c r="B63" s="206"/>
      <c r="C63" s="206" t="s">
        <v>292</v>
      </c>
      <c r="D63" s="206"/>
      <c r="E63" s="206"/>
      <c r="F63" s="207"/>
      <c r="G63" s="208"/>
      <c r="H63" s="221"/>
      <c r="I63" s="327">
        <v>0</v>
      </c>
      <c r="J63" s="207" t="s">
        <v>262</v>
      </c>
      <c r="K63" s="207"/>
      <c r="L63" s="207"/>
      <c r="M63" s="207"/>
      <c r="N63" s="207"/>
      <c r="O63" s="207"/>
      <c r="P63" s="207"/>
      <c r="Q63" s="207"/>
      <c r="R63" s="327">
        <v>0</v>
      </c>
      <c r="S63" s="207" t="s">
        <v>262</v>
      </c>
      <c r="T63" s="207"/>
      <c r="U63" s="220"/>
      <c r="V63" s="42">
        <f t="shared" si="0"/>
        <v>63</v>
      </c>
      <c r="W63" s="188" t="str">
        <f t="shared" si="2"/>
        <v>✔</v>
      </c>
      <c r="Y63" s="155"/>
      <c r="Z63" s="233">
        <v>0</v>
      </c>
      <c r="AA63" s="233">
        <v>10</v>
      </c>
      <c r="AB63" s="233">
        <v>0</v>
      </c>
      <c r="AC63" s="233">
        <v>30</v>
      </c>
      <c r="AD63" s="181"/>
    </row>
    <row r="64" spans="1:30" ht="20.100000000000001" customHeight="1" thickBot="1">
      <c r="A64" s="205"/>
      <c r="B64" s="206"/>
      <c r="C64" s="206" t="s">
        <v>293</v>
      </c>
      <c r="D64" s="206"/>
      <c r="E64" s="206"/>
      <c r="F64" s="207"/>
      <c r="G64" s="208"/>
      <c r="H64" s="221"/>
      <c r="I64" s="327">
        <v>0</v>
      </c>
      <c r="J64" s="207" t="s">
        <v>262</v>
      </c>
      <c r="K64" s="207"/>
      <c r="L64" s="207"/>
      <c r="M64" s="207"/>
      <c r="N64" s="207"/>
      <c r="O64" s="207"/>
      <c r="P64" s="207"/>
      <c r="Q64" s="207"/>
      <c r="R64" s="327">
        <v>0</v>
      </c>
      <c r="S64" s="207" t="s">
        <v>262</v>
      </c>
      <c r="T64" s="207"/>
      <c r="U64" s="220"/>
      <c r="V64" s="42">
        <f t="shared" si="0"/>
        <v>64</v>
      </c>
      <c r="W64" s="188" t="str">
        <f t="shared" ref="W64" si="3">IF(OR(I64="",R64=""),"未入力あり","✔")</f>
        <v>✔</v>
      </c>
      <c r="Y64" s="155"/>
      <c r="Z64" s="233">
        <v>0</v>
      </c>
      <c r="AA64" s="230">
        <v>10</v>
      </c>
      <c r="AB64" s="233">
        <v>0</v>
      </c>
      <c r="AC64" s="230">
        <v>30</v>
      </c>
      <c r="AD64" s="181"/>
    </row>
    <row r="65" spans="1:30" ht="20.100000000000001" customHeight="1">
      <c r="A65" s="205"/>
      <c r="B65" s="206"/>
      <c r="C65" s="206"/>
      <c r="D65" s="206"/>
      <c r="E65" s="206"/>
      <c r="F65" s="207"/>
      <c r="G65" s="200"/>
      <c r="H65" s="221"/>
      <c r="I65" s="237"/>
      <c r="J65" s="5"/>
      <c r="K65" s="5"/>
      <c r="L65" s="5"/>
      <c r="M65" s="5"/>
      <c r="N65" s="5"/>
      <c r="O65" s="5"/>
      <c r="P65" s="5"/>
      <c r="Q65" s="5"/>
      <c r="S65" s="5"/>
      <c r="T65" s="207"/>
      <c r="U65" s="220"/>
      <c r="V65" s="42">
        <f t="shared" si="0"/>
        <v>65</v>
      </c>
      <c r="Y65" s="155"/>
      <c r="Z65" s="181"/>
      <c r="AA65" s="181"/>
      <c r="AB65" s="181"/>
      <c r="AC65" s="181"/>
      <c r="AD65" s="181"/>
    </row>
    <row r="66" spans="1:30" ht="17.25">
      <c r="A66" s="205"/>
      <c r="B66" s="206" t="s">
        <v>294</v>
      </c>
      <c r="C66" s="238"/>
      <c r="D66" s="239"/>
      <c r="E66" s="239"/>
      <c r="F66" s="239"/>
      <c r="G66" s="239"/>
      <c r="H66" s="239"/>
      <c r="I66" s="226" t="s">
        <v>295</v>
      </c>
      <c r="J66" s="206"/>
      <c r="K66" s="206"/>
      <c r="L66" s="206"/>
      <c r="M66" s="206"/>
      <c r="N66" s="206"/>
      <c r="O66" s="206"/>
      <c r="P66" s="206"/>
      <c r="Q66" s="206"/>
      <c r="R66" s="226" t="s">
        <v>296</v>
      </c>
      <c r="S66" s="5"/>
      <c r="T66" s="207"/>
      <c r="U66" s="220"/>
      <c r="V66" s="42">
        <f t="shared" si="0"/>
        <v>66</v>
      </c>
      <c r="Y66" s="155"/>
      <c r="Z66" s="181"/>
      <c r="AA66" s="181"/>
      <c r="AB66" s="181"/>
      <c r="AC66" s="181"/>
      <c r="AD66" s="181"/>
    </row>
    <row r="67" spans="1:30" ht="18" thickBot="1">
      <c r="A67" s="205"/>
      <c r="B67" s="206" t="s">
        <v>297</v>
      </c>
      <c r="C67" s="240"/>
      <c r="D67" s="241"/>
      <c r="E67" s="241"/>
      <c r="F67" s="241"/>
      <c r="G67" s="241"/>
      <c r="H67" s="242"/>
      <c r="I67" s="226" t="s">
        <v>298</v>
      </c>
      <c r="J67" s="5"/>
      <c r="K67" s="5"/>
      <c r="L67" s="5"/>
      <c r="M67" s="5"/>
      <c r="N67" s="5"/>
      <c r="O67" s="5"/>
      <c r="P67" s="5"/>
      <c r="Q67" s="5"/>
      <c r="R67" s="226"/>
      <c r="S67" s="5"/>
      <c r="T67" s="207"/>
      <c r="U67" s="220"/>
      <c r="V67" s="42">
        <f t="shared" si="0"/>
        <v>67</v>
      </c>
      <c r="Y67" s="155"/>
      <c r="Z67" s="181"/>
      <c r="AA67" s="181"/>
      <c r="AB67" s="181"/>
      <c r="AC67" s="181"/>
      <c r="AD67" s="181"/>
    </row>
    <row r="68" spans="1:30" ht="21" customHeight="1" thickBot="1">
      <c r="A68" s="205"/>
      <c r="B68" s="206"/>
      <c r="C68" s="243" t="s">
        <v>299</v>
      </c>
      <c r="D68" s="243"/>
      <c r="E68" s="243"/>
      <c r="F68" s="243"/>
      <c r="G68" s="244"/>
      <c r="H68" s="243"/>
      <c r="I68" s="327">
        <v>2.1800000000000002</v>
      </c>
      <c r="J68" s="207" t="s">
        <v>262</v>
      </c>
      <c r="K68" s="207"/>
      <c r="L68" s="207"/>
      <c r="M68" s="207"/>
      <c r="N68" s="207"/>
      <c r="O68" s="207"/>
      <c r="P68" s="207"/>
      <c r="Q68" s="207"/>
      <c r="R68" s="327">
        <v>24</v>
      </c>
      <c r="S68" s="207" t="s">
        <v>300</v>
      </c>
      <c r="T68" s="207"/>
      <c r="U68" s="220"/>
      <c r="V68" s="42">
        <f t="shared" si="0"/>
        <v>68</v>
      </c>
      <c r="W68" s="188" t="str">
        <f t="shared" ref="W68:W99" si="4">IF(OR(I68="",R68=""),"未入力あり","✔")</f>
        <v>✔</v>
      </c>
      <c r="Y68" s="155"/>
      <c r="Z68" s="233">
        <v>0</v>
      </c>
      <c r="AA68" s="233">
        <v>30</v>
      </c>
      <c r="AB68" s="233">
        <v>0</v>
      </c>
      <c r="AC68" s="233">
        <v>30</v>
      </c>
      <c r="AD68" s="181"/>
    </row>
    <row r="69" spans="1:30" ht="21" customHeight="1" thickBot="1">
      <c r="A69" s="205"/>
      <c r="B69" s="206"/>
      <c r="C69" s="243" t="s">
        <v>301</v>
      </c>
      <c r="D69" s="243"/>
      <c r="E69" s="243"/>
      <c r="F69" s="243"/>
      <c r="G69" s="244"/>
      <c r="H69" s="243"/>
      <c r="I69" s="327">
        <v>0.17</v>
      </c>
      <c r="J69" s="207" t="s">
        <v>262</v>
      </c>
      <c r="K69" s="207"/>
      <c r="L69" s="207"/>
      <c r="M69" s="207"/>
      <c r="N69" s="207"/>
      <c r="O69" s="207"/>
      <c r="P69" s="207"/>
      <c r="Q69" s="207"/>
      <c r="R69" s="327">
        <v>2</v>
      </c>
      <c r="S69" s="207" t="s">
        <v>300</v>
      </c>
      <c r="T69" s="207"/>
      <c r="U69" s="220"/>
      <c r="V69" s="42">
        <f t="shared" si="0"/>
        <v>69</v>
      </c>
      <c r="W69" s="188" t="str">
        <f t="shared" si="4"/>
        <v>✔</v>
      </c>
      <c r="Y69" s="155"/>
      <c r="Z69" s="233">
        <v>0</v>
      </c>
      <c r="AA69" s="233">
        <v>30</v>
      </c>
      <c r="AB69" s="233">
        <v>0</v>
      </c>
      <c r="AC69" s="245">
        <v>30</v>
      </c>
      <c r="AD69" s="181"/>
    </row>
    <row r="70" spans="1:30" ht="21" customHeight="1" thickBot="1">
      <c r="A70" s="205"/>
      <c r="B70" s="206"/>
      <c r="C70" s="243" t="s">
        <v>302</v>
      </c>
      <c r="D70" s="243"/>
      <c r="E70" s="243"/>
      <c r="F70" s="243"/>
      <c r="G70" s="244"/>
      <c r="H70" s="243"/>
      <c r="I70" s="327">
        <v>0</v>
      </c>
      <c r="J70" s="207" t="s">
        <v>262</v>
      </c>
      <c r="K70" s="207"/>
      <c r="L70" s="207"/>
      <c r="M70" s="207"/>
      <c r="N70" s="207"/>
      <c r="O70" s="207"/>
      <c r="P70" s="207"/>
      <c r="Q70" s="207"/>
      <c r="R70" s="327">
        <v>1</v>
      </c>
      <c r="S70" s="207" t="s">
        <v>300</v>
      </c>
      <c r="T70" s="207"/>
      <c r="U70" s="220"/>
      <c r="V70" s="42">
        <f t="shared" si="0"/>
        <v>70</v>
      </c>
      <c r="W70" s="188" t="str">
        <f t="shared" si="4"/>
        <v>✔</v>
      </c>
      <c r="Y70" s="155"/>
      <c r="Z70" s="233">
        <v>0</v>
      </c>
      <c r="AA70" s="233">
        <v>30</v>
      </c>
      <c r="AB70" s="233">
        <v>0</v>
      </c>
      <c r="AC70" s="233">
        <v>30</v>
      </c>
      <c r="AD70" s="181"/>
    </row>
    <row r="71" spans="1:30" ht="21" customHeight="1" thickBot="1">
      <c r="A71" s="205"/>
      <c r="B71" s="206"/>
      <c r="C71" s="243" t="s">
        <v>303</v>
      </c>
      <c r="D71" s="243"/>
      <c r="E71" s="243"/>
      <c r="F71" s="243"/>
      <c r="G71" s="244"/>
      <c r="H71" s="243"/>
      <c r="I71" s="327">
        <v>0.08</v>
      </c>
      <c r="J71" s="207" t="s">
        <v>262</v>
      </c>
      <c r="K71" s="207"/>
      <c r="L71" s="207"/>
      <c r="M71" s="207"/>
      <c r="N71" s="207"/>
      <c r="O71" s="207"/>
      <c r="P71" s="207"/>
      <c r="Q71" s="207"/>
      <c r="R71" s="327">
        <v>1</v>
      </c>
      <c r="S71" s="207" t="s">
        <v>300</v>
      </c>
      <c r="T71" s="207"/>
      <c r="U71" s="220"/>
      <c r="V71" s="42">
        <f t="shared" si="0"/>
        <v>71</v>
      </c>
      <c r="W71" s="188" t="str">
        <f t="shared" ref="W71" si="5">IF(OR(I71="",R71=""),"未入力あり","✔")</f>
        <v>✔</v>
      </c>
      <c r="Y71" s="155"/>
      <c r="Z71" s="233">
        <v>0</v>
      </c>
      <c r="AA71" s="233">
        <v>30</v>
      </c>
      <c r="AB71" s="233">
        <v>0</v>
      </c>
      <c r="AC71" s="233">
        <v>30</v>
      </c>
      <c r="AD71" s="181"/>
    </row>
    <row r="72" spans="1:30" ht="21" customHeight="1" thickBot="1">
      <c r="A72" s="205"/>
      <c r="B72" s="206"/>
      <c r="C72" s="243" t="s">
        <v>304</v>
      </c>
      <c r="D72" s="243"/>
      <c r="E72" s="243"/>
      <c r="F72" s="243"/>
      <c r="G72" s="244"/>
      <c r="H72" s="243"/>
      <c r="I72" s="327">
        <v>0.41</v>
      </c>
      <c r="J72" s="207" t="s">
        <v>262</v>
      </c>
      <c r="K72" s="207"/>
      <c r="L72" s="207"/>
      <c r="M72" s="207"/>
      <c r="N72" s="207"/>
      <c r="O72" s="207"/>
      <c r="P72" s="207"/>
      <c r="Q72" s="207"/>
      <c r="R72" s="327">
        <v>10</v>
      </c>
      <c r="S72" s="207" t="s">
        <v>300</v>
      </c>
      <c r="T72" s="207"/>
      <c r="U72" s="220"/>
      <c r="V72" s="42">
        <f t="shared" si="0"/>
        <v>72</v>
      </c>
      <c r="W72" s="188" t="str">
        <f t="shared" si="4"/>
        <v>✔</v>
      </c>
      <c r="Y72" s="155"/>
      <c r="Z72" s="233">
        <v>0</v>
      </c>
      <c r="AA72" s="233">
        <v>30</v>
      </c>
      <c r="AB72" s="233">
        <v>0</v>
      </c>
      <c r="AC72" s="245">
        <v>60</v>
      </c>
      <c r="AD72" s="181"/>
    </row>
    <row r="73" spans="1:30" ht="21" customHeight="1" thickBot="1">
      <c r="A73" s="205"/>
      <c r="B73" s="206"/>
      <c r="C73" s="246" t="s">
        <v>305</v>
      </c>
      <c r="D73" s="246"/>
      <c r="E73" s="246"/>
      <c r="F73" s="247"/>
      <c r="G73" s="248"/>
      <c r="H73" s="249"/>
      <c r="I73" s="327">
        <v>0.88</v>
      </c>
      <c r="J73" s="207" t="s">
        <v>262</v>
      </c>
      <c r="K73" s="207"/>
      <c r="L73" s="207"/>
      <c r="M73" s="207"/>
      <c r="N73" s="207"/>
      <c r="O73" s="207"/>
      <c r="P73" s="207"/>
      <c r="Q73" s="207"/>
      <c r="R73" s="327">
        <v>4</v>
      </c>
      <c r="S73" s="207" t="s">
        <v>262</v>
      </c>
      <c r="T73" s="207"/>
      <c r="U73" s="220"/>
      <c r="V73" s="42">
        <f t="shared" si="0"/>
        <v>73</v>
      </c>
      <c r="W73" s="188" t="str">
        <f t="shared" si="4"/>
        <v>✔</v>
      </c>
      <c r="Y73" s="155"/>
      <c r="Z73" s="233">
        <v>0</v>
      </c>
      <c r="AA73" s="233">
        <v>30</v>
      </c>
      <c r="AB73" s="233">
        <v>0</v>
      </c>
      <c r="AC73" s="233">
        <v>30</v>
      </c>
      <c r="AD73" s="181"/>
    </row>
    <row r="74" spans="1:30" ht="21" customHeight="1" thickBot="1">
      <c r="A74" s="205"/>
      <c r="B74" s="206"/>
      <c r="C74" s="246" t="s">
        <v>306</v>
      </c>
      <c r="D74" s="243"/>
      <c r="E74" s="243"/>
      <c r="F74" s="243"/>
      <c r="G74" s="244"/>
      <c r="H74" s="243"/>
      <c r="I74" s="327">
        <v>0.88</v>
      </c>
      <c r="J74" s="207" t="s">
        <v>262</v>
      </c>
      <c r="K74" s="207"/>
      <c r="L74" s="207"/>
      <c r="M74" s="207"/>
      <c r="N74" s="207"/>
      <c r="O74" s="207"/>
      <c r="P74" s="207"/>
      <c r="Q74" s="207"/>
      <c r="R74" s="327">
        <v>1</v>
      </c>
      <c r="S74" s="207" t="s">
        <v>300</v>
      </c>
      <c r="T74" s="207"/>
      <c r="U74" s="220"/>
      <c r="V74" s="42">
        <f t="shared" si="0"/>
        <v>74</v>
      </c>
      <c r="W74" s="188" t="str">
        <f t="shared" si="4"/>
        <v>✔</v>
      </c>
      <c r="Y74" s="155"/>
      <c r="Z74" s="233">
        <v>0</v>
      </c>
      <c r="AA74" s="233">
        <v>30</v>
      </c>
      <c r="AB74" s="233">
        <v>0</v>
      </c>
      <c r="AC74" s="233">
        <v>30</v>
      </c>
      <c r="AD74" s="181"/>
    </row>
    <row r="75" spans="1:30" ht="21" customHeight="1" thickBot="1">
      <c r="A75" s="205"/>
      <c r="B75" s="206"/>
      <c r="C75" s="243" t="s">
        <v>307</v>
      </c>
      <c r="D75" s="243"/>
      <c r="E75" s="243"/>
      <c r="F75" s="243"/>
      <c r="G75" s="244"/>
      <c r="H75" s="243"/>
      <c r="I75" s="327">
        <v>0</v>
      </c>
      <c r="J75" s="207" t="s">
        <v>262</v>
      </c>
      <c r="K75" s="207"/>
      <c r="L75" s="207"/>
      <c r="M75" s="207"/>
      <c r="N75" s="207"/>
      <c r="O75" s="207"/>
      <c r="P75" s="207"/>
      <c r="Q75" s="207"/>
      <c r="R75" s="327">
        <v>0</v>
      </c>
      <c r="S75" s="207" t="s">
        <v>300</v>
      </c>
      <c r="T75" s="207"/>
      <c r="U75" s="220"/>
      <c r="V75" s="42">
        <f t="shared" si="0"/>
        <v>75</v>
      </c>
      <c r="W75" s="188" t="str">
        <f t="shared" si="4"/>
        <v>✔</v>
      </c>
      <c r="Y75" s="155"/>
      <c r="Z75" s="233">
        <v>0</v>
      </c>
      <c r="AA75" s="233">
        <v>30</v>
      </c>
      <c r="AB75" s="233">
        <v>0</v>
      </c>
      <c r="AC75" s="233">
        <v>30</v>
      </c>
      <c r="AD75" s="181"/>
    </row>
    <row r="76" spans="1:30" ht="21" customHeight="1" thickBot="1">
      <c r="A76" s="205"/>
      <c r="B76" s="206"/>
      <c r="C76" s="243" t="s">
        <v>308</v>
      </c>
      <c r="D76" s="243"/>
      <c r="E76" s="243"/>
      <c r="F76" s="243"/>
      <c r="G76" s="244"/>
      <c r="H76" s="243"/>
      <c r="I76" s="327">
        <v>0</v>
      </c>
      <c r="J76" s="207" t="s">
        <v>262</v>
      </c>
      <c r="K76" s="207"/>
      <c r="L76" s="207"/>
      <c r="M76" s="207"/>
      <c r="N76" s="207"/>
      <c r="O76" s="207"/>
      <c r="P76" s="207"/>
      <c r="Q76" s="207"/>
      <c r="R76" s="327">
        <v>1</v>
      </c>
      <c r="S76" s="207" t="s">
        <v>300</v>
      </c>
      <c r="T76" s="207"/>
      <c r="U76" s="220"/>
      <c r="V76" s="42">
        <f t="shared" si="0"/>
        <v>76</v>
      </c>
      <c r="W76" s="188" t="str">
        <f t="shared" si="4"/>
        <v>✔</v>
      </c>
      <c r="Y76" s="155"/>
      <c r="Z76" s="233">
        <v>0</v>
      </c>
      <c r="AA76" s="233">
        <v>30</v>
      </c>
      <c r="AB76" s="233">
        <v>0</v>
      </c>
      <c r="AC76" s="233">
        <v>30</v>
      </c>
      <c r="AD76" s="181"/>
    </row>
    <row r="77" spans="1:30" ht="21" customHeight="1" thickBot="1">
      <c r="A77" s="205"/>
      <c r="B77" s="206"/>
      <c r="C77" s="243" t="s">
        <v>309</v>
      </c>
      <c r="D77" s="243"/>
      <c r="E77" s="243"/>
      <c r="F77" s="243"/>
      <c r="G77" s="244"/>
      <c r="H77" s="243"/>
      <c r="I77" s="327">
        <v>0</v>
      </c>
      <c r="J77" s="207" t="s">
        <v>262</v>
      </c>
      <c r="K77" s="207"/>
      <c r="L77" s="243"/>
      <c r="M77" s="207"/>
      <c r="N77" s="207"/>
      <c r="O77" s="207"/>
      <c r="P77" s="207"/>
      <c r="Q77" s="207"/>
      <c r="R77" s="327">
        <v>2</v>
      </c>
      <c r="S77" s="207" t="s">
        <v>300</v>
      </c>
      <c r="T77" s="207"/>
      <c r="U77" s="220"/>
      <c r="V77" s="42">
        <f t="shared" si="0"/>
        <v>77</v>
      </c>
      <c r="W77" s="188" t="str">
        <f t="shared" si="4"/>
        <v>✔</v>
      </c>
      <c r="Y77" s="155"/>
      <c r="Z77" s="233">
        <v>0</v>
      </c>
      <c r="AA77" s="233">
        <v>30</v>
      </c>
      <c r="AB77" s="233">
        <v>0</v>
      </c>
      <c r="AC77" s="233">
        <v>30</v>
      </c>
      <c r="AD77" s="181"/>
    </row>
    <row r="78" spans="1:30" ht="21" customHeight="1" thickBot="1">
      <c r="A78" s="205"/>
      <c r="B78" s="206"/>
      <c r="C78" s="243" t="s">
        <v>310</v>
      </c>
      <c r="D78" s="243"/>
      <c r="E78" s="243"/>
      <c r="F78" s="243"/>
      <c r="G78" s="244"/>
      <c r="H78" s="243"/>
      <c r="I78" s="327">
        <v>0</v>
      </c>
      <c r="J78" s="207" t="s">
        <v>262</v>
      </c>
      <c r="K78" s="207"/>
      <c r="L78" s="207"/>
      <c r="M78" s="207"/>
      <c r="N78" s="207"/>
      <c r="O78" s="207"/>
      <c r="P78" s="207"/>
      <c r="Q78" s="207"/>
      <c r="R78" s="327">
        <v>0</v>
      </c>
      <c r="S78" s="207" t="s">
        <v>300</v>
      </c>
      <c r="T78" s="207"/>
      <c r="U78" s="220"/>
      <c r="V78" s="42">
        <f t="shared" si="0"/>
        <v>78</v>
      </c>
      <c r="W78" s="188" t="str">
        <f t="shared" si="4"/>
        <v>✔</v>
      </c>
      <c r="Y78" s="155"/>
      <c r="Z78" s="233">
        <v>0</v>
      </c>
      <c r="AA78" s="233">
        <v>30</v>
      </c>
      <c r="AB78" s="233">
        <v>0</v>
      </c>
      <c r="AC78" s="233">
        <v>30</v>
      </c>
      <c r="AD78" s="181"/>
    </row>
    <row r="79" spans="1:30" ht="21" customHeight="1" thickBot="1">
      <c r="A79" s="205"/>
      <c r="B79" s="206"/>
      <c r="C79" s="243" t="s">
        <v>311</v>
      </c>
      <c r="D79" s="243"/>
      <c r="E79" s="243"/>
      <c r="F79" s="243"/>
      <c r="G79" s="244"/>
      <c r="H79" s="243"/>
      <c r="I79" s="327">
        <v>0</v>
      </c>
      <c r="J79" s="207" t="s">
        <v>262</v>
      </c>
      <c r="K79" s="207"/>
      <c r="L79" s="207"/>
      <c r="M79" s="207"/>
      <c r="N79" s="207"/>
      <c r="O79" s="207"/>
      <c r="P79" s="207"/>
      <c r="Q79" s="207"/>
      <c r="R79" s="327">
        <v>2</v>
      </c>
      <c r="S79" s="207" t="s">
        <v>300</v>
      </c>
      <c r="T79" s="207"/>
      <c r="U79" s="220"/>
      <c r="V79" s="42">
        <f t="shared" ref="V79:V144" si="6">+ROW()</f>
        <v>79</v>
      </c>
      <c r="W79" s="188" t="str">
        <f t="shared" si="4"/>
        <v>✔</v>
      </c>
      <c r="Y79" s="155"/>
      <c r="Z79" s="233">
        <v>0</v>
      </c>
      <c r="AA79" s="233">
        <v>30</v>
      </c>
      <c r="AB79" s="233">
        <v>0</v>
      </c>
      <c r="AC79" s="233">
        <v>30</v>
      </c>
      <c r="AD79" s="181"/>
    </row>
    <row r="80" spans="1:30" ht="21" customHeight="1" thickBot="1">
      <c r="A80" s="205"/>
      <c r="B80" s="206"/>
      <c r="C80" s="243" t="s">
        <v>312</v>
      </c>
      <c r="D80" s="243"/>
      <c r="E80" s="243"/>
      <c r="F80" s="243"/>
      <c r="G80" s="244"/>
      <c r="H80" s="243"/>
      <c r="I80" s="327">
        <v>0</v>
      </c>
      <c r="J80" s="207" t="s">
        <v>262</v>
      </c>
      <c r="K80" s="207"/>
      <c r="L80" s="207"/>
      <c r="M80" s="207"/>
      <c r="N80" s="207"/>
      <c r="O80" s="207"/>
      <c r="P80" s="207"/>
      <c r="Q80" s="207"/>
      <c r="R80" s="327">
        <v>1</v>
      </c>
      <c r="S80" s="207" t="s">
        <v>300</v>
      </c>
      <c r="T80" s="207"/>
      <c r="U80" s="220"/>
      <c r="V80" s="42">
        <f t="shared" si="6"/>
        <v>80</v>
      </c>
      <c r="W80" s="188" t="str">
        <f t="shared" si="4"/>
        <v>✔</v>
      </c>
      <c r="Y80" s="155"/>
      <c r="Z80" s="233">
        <v>0</v>
      </c>
      <c r="AA80" s="233">
        <v>30</v>
      </c>
      <c r="AB80" s="233">
        <v>0</v>
      </c>
      <c r="AC80" s="233">
        <v>30</v>
      </c>
      <c r="AD80" s="181"/>
    </row>
    <row r="81" spans="1:30" ht="21" customHeight="1" thickBot="1">
      <c r="A81" s="205"/>
      <c r="B81" s="206"/>
      <c r="C81" s="243" t="s">
        <v>313</v>
      </c>
      <c r="D81" s="243"/>
      <c r="E81" s="243"/>
      <c r="F81" s="243"/>
      <c r="G81" s="244"/>
      <c r="H81" s="243"/>
      <c r="I81" s="327">
        <v>0</v>
      </c>
      <c r="J81" s="207" t="s">
        <v>262</v>
      </c>
      <c r="K81" s="207"/>
      <c r="L81" s="207"/>
      <c r="M81" s="207"/>
      <c r="N81" s="207"/>
      <c r="O81" s="207"/>
      <c r="P81" s="207"/>
      <c r="Q81" s="207"/>
      <c r="R81" s="327">
        <v>0</v>
      </c>
      <c r="S81" s="207" t="s">
        <v>300</v>
      </c>
      <c r="T81" s="207"/>
      <c r="U81" s="220"/>
      <c r="V81" s="42">
        <f t="shared" si="6"/>
        <v>81</v>
      </c>
      <c r="W81" s="188" t="str">
        <f t="shared" si="4"/>
        <v>✔</v>
      </c>
      <c r="Y81" s="155"/>
      <c r="Z81" s="233">
        <v>0</v>
      </c>
      <c r="AA81" s="233">
        <v>30</v>
      </c>
      <c r="AB81" s="233">
        <v>0</v>
      </c>
      <c r="AC81" s="233">
        <v>30</v>
      </c>
      <c r="AD81" s="181"/>
    </row>
    <row r="82" spans="1:30" ht="21" customHeight="1" thickBot="1">
      <c r="A82" s="205"/>
      <c r="B82" s="206"/>
      <c r="C82" s="243" t="s">
        <v>314</v>
      </c>
      <c r="D82" s="243"/>
      <c r="E82" s="243"/>
      <c r="F82" s="250"/>
      <c r="G82" s="244"/>
      <c r="H82" s="244"/>
      <c r="I82" s="327">
        <v>0</v>
      </c>
      <c r="J82" s="207" t="s">
        <v>262</v>
      </c>
      <c r="K82" s="207"/>
      <c r="L82" s="207"/>
      <c r="M82" s="207"/>
      <c r="N82" s="207"/>
      <c r="O82" s="207"/>
      <c r="P82" s="207"/>
      <c r="Q82" s="207"/>
      <c r="R82" s="327">
        <v>5</v>
      </c>
      <c r="S82" s="207" t="s">
        <v>300</v>
      </c>
      <c r="T82" s="207"/>
      <c r="U82" s="220"/>
      <c r="V82" s="42">
        <f t="shared" si="6"/>
        <v>82</v>
      </c>
      <c r="W82" s="188" t="str">
        <f t="shared" si="4"/>
        <v>✔</v>
      </c>
      <c r="Y82" s="155"/>
      <c r="Z82" s="233">
        <v>0</v>
      </c>
      <c r="AA82" s="233">
        <v>30</v>
      </c>
      <c r="AB82" s="233">
        <v>0</v>
      </c>
      <c r="AC82" s="233">
        <v>30</v>
      </c>
      <c r="AD82" s="181"/>
    </row>
    <row r="83" spans="1:30" ht="21" customHeight="1" thickBot="1">
      <c r="A83" s="205"/>
      <c r="B83" s="206"/>
      <c r="C83" s="243" t="s">
        <v>315</v>
      </c>
      <c r="D83" s="243"/>
      <c r="E83" s="243"/>
      <c r="F83" s="243"/>
      <c r="G83" s="244"/>
      <c r="H83" s="243"/>
      <c r="I83" s="327">
        <v>0</v>
      </c>
      <c r="J83" s="207" t="s">
        <v>262</v>
      </c>
      <c r="K83" s="207"/>
      <c r="L83" s="207"/>
      <c r="M83" s="207"/>
      <c r="N83" s="207"/>
      <c r="O83" s="207"/>
      <c r="P83" s="207"/>
      <c r="Q83" s="207"/>
      <c r="R83" s="327">
        <v>0</v>
      </c>
      <c r="S83" s="207" t="s">
        <v>300</v>
      </c>
      <c r="T83" s="207"/>
      <c r="U83" s="220"/>
      <c r="V83" s="42">
        <f t="shared" si="6"/>
        <v>83</v>
      </c>
      <c r="W83" s="188" t="str">
        <f t="shared" si="4"/>
        <v>✔</v>
      </c>
      <c r="Y83" s="155"/>
      <c r="Z83" s="233">
        <v>0</v>
      </c>
      <c r="AA83" s="233">
        <v>30</v>
      </c>
      <c r="AB83" s="233">
        <v>0</v>
      </c>
      <c r="AC83" s="233">
        <v>30</v>
      </c>
      <c r="AD83" s="181"/>
    </row>
    <row r="84" spans="1:30" ht="21" customHeight="1" thickBot="1">
      <c r="A84" s="205"/>
      <c r="B84" s="206"/>
      <c r="C84" s="243" t="s">
        <v>316</v>
      </c>
      <c r="D84" s="243"/>
      <c r="E84" s="243"/>
      <c r="F84" s="243"/>
      <c r="G84" s="244"/>
      <c r="H84" s="243"/>
      <c r="I84" s="327">
        <v>0</v>
      </c>
      <c r="J84" s="207" t="s">
        <v>262</v>
      </c>
      <c r="K84" s="207"/>
      <c r="L84" s="207"/>
      <c r="M84" s="207"/>
      <c r="N84" s="207"/>
      <c r="O84" s="207"/>
      <c r="P84" s="207"/>
      <c r="Q84" s="207"/>
      <c r="R84" s="327">
        <v>2</v>
      </c>
      <c r="S84" s="207" t="s">
        <v>300</v>
      </c>
      <c r="T84" s="207"/>
      <c r="U84" s="220"/>
      <c r="V84" s="42">
        <f t="shared" si="6"/>
        <v>84</v>
      </c>
      <c r="W84" s="188" t="str">
        <f t="shared" si="4"/>
        <v>✔</v>
      </c>
      <c r="Y84" s="155"/>
      <c r="Z84" s="233">
        <v>0</v>
      </c>
      <c r="AA84" s="233">
        <v>30</v>
      </c>
      <c r="AB84" s="233">
        <v>0</v>
      </c>
      <c r="AC84" s="233">
        <v>30</v>
      </c>
      <c r="AD84" s="181"/>
    </row>
    <row r="85" spans="1:30" ht="21" customHeight="1" thickBot="1">
      <c r="A85" s="205"/>
      <c r="B85" s="206"/>
      <c r="C85" s="243" t="s">
        <v>317</v>
      </c>
      <c r="D85" s="243"/>
      <c r="E85" s="243"/>
      <c r="F85" s="243"/>
      <c r="G85" s="244"/>
      <c r="H85" s="243"/>
      <c r="I85" s="327">
        <v>0</v>
      </c>
      <c r="J85" s="207" t="s">
        <v>262</v>
      </c>
      <c r="K85" s="207"/>
      <c r="L85" s="207"/>
      <c r="M85" s="207"/>
      <c r="N85" s="207"/>
      <c r="O85" s="207"/>
      <c r="P85" s="207"/>
      <c r="Q85" s="207"/>
      <c r="R85" s="327">
        <v>1</v>
      </c>
      <c r="S85" s="207" t="s">
        <v>300</v>
      </c>
      <c r="T85" s="207"/>
      <c r="U85" s="220"/>
      <c r="V85" s="42">
        <f t="shared" si="6"/>
        <v>85</v>
      </c>
      <c r="W85" s="188" t="str">
        <f t="shared" si="4"/>
        <v>✔</v>
      </c>
      <c r="Y85" s="155"/>
      <c r="Z85" s="233">
        <v>0</v>
      </c>
      <c r="AA85" s="233">
        <v>30</v>
      </c>
      <c r="AB85" s="233">
        <v>0</v>
      </c>
      <c r="AC85" s="233">
        <v>30</v>
      </c>
      <c r="AD85" s="181"/>
    </row>
    <row r="86" spans="1:30" ht="21" customHeight="1" thickBot="1">
      <c r="A86" s="205"/>
      <c r="B86" s="206"/>
      <c r="C86" s="243" t="s">
        <v>318</v>
      </c>
      <c r="D86" s="243"/>
      <c r="E86" s="243"/>
      <c r="F86" s="243"/>
      <c r="G86" s="244"/>
      <c r="H86" s="243"/>
      <c r="I86" s="327">
        <v>0</v>
      </c>
      <c r="J86" s="207" t="s">
        <v>262</v>
      </c>
      <c r="K86" s="207"/>
      <c r="L86" s="207"/>
      <c r="M86" s="207"/>
      <c r="N86" s="207"/>
      <c r="O86" s="207"/>
      <c r="P86" s="207"/>
      <c r="Q86" s="207"/>
      <c r="R86" s="327">
        <v>3</v>
      </c>
      <c r="S86" s="207" t="s">
        <v>300</v>
      </c>
      <c r="T86" s="207"/>
      <c r="U86" s="220"/>
      <c r="V86" s="42">
        <f t="shared" si="6"/>
        <v>86</v>
      </c>
      <c r="W86" s="188" t="str">
        <f t="shared" si="4"/>
        <v>✔</v>
      </c>
      <c r="Y86" s="155"/>
      <c r="Z86" s="233">
        <v>0</v>
      </c>
      <c r="AA86" s="233">
        <v>30</v>
      </c>
      <c r="AB86" s="233">
        <v>0</v>
      </c>
      <c r="AC86" s="233">
        <v>30</v>
      </c>
      <c r="AD86" s="181"/>
    </row>
    <row r="87" spans="1:30" ht="21" customHeight="1" thickBot="1">
      <c r="A87" s="205"/>
      <c r="B87" s="206"/>
      <c r="C87" s="243" t="s">
        <v>319</v>
      </c>
      <c r="D87" s="243"/>
      <c r="E87" s="243"/>
      <c r="F87" s="243"/>
      <c r="G87" s="244"/>
      <c r="H87" s="243"/>
      <c r="I87" s="327">
        <v>0</v>
      </c>
      <c r="J87" s="207" t="s">
        <v>262</v>
      </c>
      <c r="K87" s="207"/>
      <c r="L87" s="207"/>
      <c r="M87" s="207"/>
      <c r="N87" s="207"/>
      <c r="O87" s="207"/>
      <c r="P87" s="207"/>
      <c r="Q87" s="207"/>
      <c r="R87" s="327">
        <v>0</v>
      </c>
      <c r="S87" s="207" t="s">
        <v>300</v>
      </c>
      <c r="T87" s="207"/>
      <c r="U87" s="220"/>
      <c r="V87" s="42">
        <f t="shared" si="6"/>
        <v>87</v>
      </c>
      <c r="W87" s="188" t="str">
        <f t="shared" si="4"/>
        <v>✔</v>
      </c>
      <c r="Y87" s="155"/>
      <c r="Z87" s="233">
        <v>0</v>
      </c>
      <c r="AA87" s="233">
        <v>30</v>
      </c>
      <c r="AB87" s="233">
        <v>0</v>
      </c>
      <c r="AC87" s="233">
        <v>30</v>
      </c>
      <c r="AD87" s="181"/>
    </row>
    <row r="88" spans="1:30" ht="21" customHeight="1" thickBot="1">
      <c r="A88" s="205"/>
      <c r="B88" s="206"/>
      <c r="C88" s="243" t="s">
        <v>320</v>
      </c>
      <c r="D88" s="243"/>
      <c r="E88" s="243"/>
      <c r="F88" s="243"/>
      <c r="G88" s="244"/>
      <c r="H88" s="243"/>
      <c r="I88" s="327">
        <v>0</v>
      </c>
      <c r="J88" s="207" t="s">
        <v>262</v>
      </c>
      <c r="K88" s="207"/>
      <c r="L88" s="207"/>
      <c r="M88" s="207"/>
      <c r="N88" s="207"/>
      <c r="O88" s="207"/>
      <c r="P88" s="207"/>
      <c r="Q88" s="207"/>
      <c r="R88" s="327">
        <v>2</v>
      </c>
      <c r="S88" s="207" t="s">
        <v>300</v>
      </c>
      <c r="T88" s="207"/>
      <c r="U88" s="220"/>
      <c r="V88" s="42">
        <f t="shared" si="6"/>
        <v>88</v>
      </c>
      <c r="W88" s="188" t="str">
        <f t="shared" si="4"/>
        <v>✔</v>
      </c>
      <c r="Y88" s="155"/>
      <c r="Z88" s="233">
        <v>0</v>
      </c>
      <c r="AA88" s="233">
        <v>30</v>
      </c>
      <c r="AB88" s="233">
        <v>0</v>
      </c>
      <c r="AC88" s="233">
        <v>30</v>
      </c>
      <c r="AD88" s="181"/>
    </row>
    <row r="89" spans="1:30" ht="21" customHeight="1" thickBot="1">
      <c r="A89" s="205"/>
      <c r="B89" s="206"/>
      <c r="C89" s="243" t="s">
        <v>321</v>
      </c>
      <c r="D89" s="243"/>
      <c r="E89" s="243"/>
      <c r="F89" s="243"/>
      <c r="G89" s="244"/>
      <c r="H89" s="243"/>
      <c r="I89" s="327">
        <v>0.22</v>
      </c>
      <c r="J89" s="207" t="s">
        <v>262</v>
      </c>
      <c r="K89" s="207"/>
      <c r="L89" s="207"/>
      <c r="M89" s="207"/>
      <c r="N89" s="207"/>
      <c r="O89" s="207"/>
      <c r="P89" s="207"/>
      <c r="Q89" s="207"/>
      <c r="R89" s="327">
        <v>2</v>
      </c>
      <c r="S89" s="207" t="s">
        <v>300</v>
      </c>
      <c r="T89" s="207"/>
      <c r="U89" s="220"/>
      <c r="V89" s="42">
        <f t="shared" si="6"/>
        <v>89</v>
      </c>
      <c r="W89" s="188" t="str">
        <f t="shared" si="4"/>
        <v>✔</v>
      </c>
      <c r="Y89" s="155"/>
      <c r="Z89" s="233">
        <v>0</v>
      </c>
      <c r="AA89" s="233">
        <v>30</v>
      </c>
      <c r="AB89" s="233">
        <v>0</v>
      </c>
      <c r="AC89" s="233">
        <v>30</v>
      </c>
      <c r="AD89" s="181"/>
    </row>
    <row r="90" spans="1:30" ht="21" customHeight="1" thickBot="1">
      <c r="A90" s="205"/>
      <c r="B90" s="206"/>
      <c r="C90" s="243" t="s">
        <v>322</v>
      </c>
      <c r="D90" s="243"/>
      <c r="E90" s="243"/>
      <c r="F90" s="243"/>
      <c r="G90" s="244"/>
      <c r="H90" s="243"/>
      <c r="I90" s="327">
        <v>0</v>
      </c>
      <c r="J90" s="207" t="s">
        <v>262</v>
      </c>
      <c r="K90" s="207"/>
      <c r="L90" s="207"/>
      <c r="M90" s="207"/>
      <c r="N90" s="207"/>
      <c r="O90" s="207"/>
      <c r="P90" s="207"/>
      <c r="Q90" s="207"/>
      <c r="R90" s="327">
        <v>1</v>
      </c>
      <c r="S90" s="207" t="s">
        <v>300</v>
      </c>
      <c r="T90" s="207"/>
      <c r="U90" s="220"/>
      <c r="V90" s="42">
        <f t="shared" si="6"/>
        <v>90</v>
      </c>
      <c r="W90" s="188" t="str">
        <f t="shared" si="4"/>
        <v>✔</v>
      </c>
      <c r="Y90" s="155"/>
      <c r="Z90" s="233">
        <v>0</v>
      </c>
      <c r="AA90" s="233">
        <v>30</v>
      </c>
      <c r="AB90" s="233">
        <v>0</v>
      </c>
      <c r="AC90" s="233">
        <v>30</v>
      </c>
      <c r="AD90" s="181"/>
    </row>
    <row r="91" spans="1:30" ht="21" customHeight="1" thickBot="1">
      <c r="A91" s="205"/>
      <c r="B91" s="206"/>
      <c r="C91" s="243" t="s">
        <v>323</v>
      </c>
      <c r="D91" s="243"/>
      <c r="E91" s="243"/>
      <c r="F91" s="243"/>
      <c r="G91" s="244"/>
      <c r="H91" s="243"/>
      <c r="I91" s="327">
        <v>0</v>
      </c>
      <c r="J91" s="207" t="s">
        <v>262</v>
      </c>
      <c r="K91" s="207"/>
      <c r="L91" s="207"/>
      <c r="M91" s="207"/>
      <c r="N91" s="207"/>
      <c r="O91" s="207"/>
      <c r="P91" s="207"/>
      <c r="Q91" s="207"/>
      <c r="R91" s="327">
        <v>0</v>
      </c>
      <c r="S91" s="207" t="s">
        <v>300</v>
      </c>
      <c r="T91" s="207"/>
      <c r="U91" s="220"/>
      <c r="V91" s="42">
        <f t="shared" si="6"/>
        <v>91</v>
      </c>
      <c r="W91" s="188" t="str">
        <f t="shared" si="4"/>
        <v>✔</v>
      </c>
      <c r="Y91" s="155"/>
      <c r="Z91" s="233">
        <v>0</v>
      </c>
      <c r="AA91" s="233">
        <v>30</v>
      </c>
      <c r="AB91" s="233">
        <v>0</v>
      </c>
      <c r="AC91" s="233">
        <v>30</v>
      </c>
      <c r="AD91" s="181"/>
    </row>
    <row r="92" spans="1:30" ht="21" customHeight="1" thickBot="1">
      <c r="A92" s="205"/>
      <c r="B92" s="206"/>
      <c r="C92" s="243" t="s">
        <v>324</v>
      </c>
      <c r="D92" s="243"/>
      <c r="E92" s="243"/>
      <c r="F92" s="243"/>
      <c r="G92" s="244"/>
      <c r="H92" s="243"/>
      <c r="I92" s="327">
        <v>0.04</v>
      </c>
      <c r="J92" s="207" t="s">
        <v>262</v>
      </c>
      <c r="K92" s="207"/>
      <c r="L92" s="207"/>
      <c r="M92" s="207"/>
      <c r="N92" s="207"/>
      <c r="O92" s="207"/>
      <c r="P92" s="207"/>
      <c r="Q92" s="207"/>
      <c r="R92" s="327">
        <v>1</v>
      </c>
      <c r="S92" s="207" t="s">
        <v>300</v>
      </c>
      <c r="T92" s="207"/>
      <c r="U92" s="220"/>
      <c r="V92" s="42">
        <f t="shared" si="6"/>
        <v>92</v>
      </c>
      <c r="W92" s="188" t="str">
        <f t="shared" si="4"/>
        <v>✔</v>
      </c>
      <c r="Y92" s="155"/>
      <c r="Z92" s="233">
        <v>0</v>
      </c>
      <c r="AA92" s="233">
        <v>30</v>
      </c>
      <c r="AB92" s="233">
        <v>0</v>
      </c>
      <c r="AC92" s="233">
        <v>30</v>
      </c>
      <c r="AD92" s="181"/>
    </row>
    <row r="93" spans="1:30" ht="21" customHeight="1" thickBot="1">
      <c r="A93" s="205"/>
      <c r="B93" s="206"/>
      <c r="C93" s="243" t="s">
        <v>325</v>
      </c>
      <c r="D93" s="243"/>
      <c r="E93" s="243"/>
      <c r="F93" s="243"/>
      <c r="G93" s="244"/>
      <c r="H93" s="243"/>
      <c r="I93" s="327">
        <v>0.04</v>
      </c>
      <c r="J93" s="207" t="s">
        <v>262</v>
      </c>
      <c r="K93" s="207"/>
      <c r="L93" s="207"/>
      <c r="M93" s="207"/>
      <c r="N93" s="207"/>
      <c r="O93" s="207"/>
      <c r="P93" s="207"/>
      <c r="Q93" s="207"/>
      <c r="R93" s="327">
        <v>0</v>
      </c>
      <c r="S93" s="207" t="s">
        <v>300</v>
      </c>
      <c r="T93" s="207"/>
      <c r="U93" s="220"/>
      <c r="V93" s="42">
        <f t="shared" si="6"/>
        <v>93</v>
      </c>
      <c r="W93" s="188" t="str">
        <f t="shared" si="4"/>
        <v>✔</v>
      </c>
      <c r="Y93" s="155"/>
      <c r="Z93" s="233">
        <v>0</v>
      </c>
      <c r="AA93" s="233">
        <v>30</v>
      </c>
      <c r="AB93" s="233">
        <v>0</v>
      </c>
      <c r="AC93" s="233">
        <v>30</v>
      </c>
      <c r="AD93" s="181"/>
    </row>
    <row r="94" spans="1:30" ht="21" customHeight="1" thickBot="1">
      <c r="A94" s="205"/>
      <c r="B94" s="206"/>
      <c r="C94" s="243" t="s">
        <v>326</v>
      </c>
      <c r="D94" s="243"/>
      <c r="E94" s="243"/>
      <c r="F94" s="243"/>
      <c r="G94" s="244"/>
      <c r="H94" s="243"/>
      <c r="I94" s="327">
        <v>0</v>
      </c>
      <c r="J94" s="207" t="s">
        <v>262</v>
      </c>
      <c r="K94" s="207"/>
      <c r="L94" s="207"/>
      <c r="M94" s="207"/>
      <c r="N94" s="207"/>
      <c r="O94" s="207"/>
      <c r="P94" s="207"/>
      <c r="Q94" s="207"/>
      <c r="R94" s="327">
        <v>0</v>
      </c>
      <c r="S94" s="207" t="s">
        <v>300</v>
      </c>
      <c r="T94" s="207"/>
      <c r="U94" s="220"/>
      <c r="V94" s="42">
        <f t="shared" si="6"/>
        <v>94</v>
      </c>
      <c r="W94" s="188" t="str">
        <f t="shared" si="4"/>
        <v>✔</v>
      </c>
      <c r="Y94" s="155"/>
      <c r="Z94" s="233">
        <v>0</v>
      </c>
      <c r="AA94" s="233">
        <v>30</v>
      </c>
      <c r="AB94" s="233">
        <v>0</v>
      </c>
      <c r="AC94" s="233">
        <v>30</v>
      </c>
      <c r="AD94" s="181"/>
    </row>
    <row r="95" spans="1:30" ht="21" customHeight="1" thickBot="1">
      <c r="A95" s="205"/>
      <c r="B95" s="206"/>
      <c r="C95" s="243" t="s">
        <v>327</v>
      </c>
      <c r="D95" s="243"/>
      <c r="E95" s="243"/>
      <c r="F95" s="243"/>
      <c r="G95" s="244"/>
      <c r="H95" s="243"/>
      <c r="I95" s="327">
        <v>0.88</v>
      </c>
      <c r="J95" s="207" t="s">
        <v>262</v>
      </c>
      <c r="K95" s="207"/>
      <c r="L95" s="207"/>
      <c r="M95" s="207"/>
      <c r="N95" s="207"/>
      <c r="O95" s="207"/>
      <c r="P95" s="207"/>
      <c r="Q95" s="207"/>
      <c r="R95" s="327">
        <v>1</v>
      </c>
      <c r="S95" s="207" t="s">
        <v>300</v>
      </c>
      <c r="T95" s="207"/>
      <c r="U95" s="220"/>
      <c r="V95" s="42">
        <f t="shared" si="6"/>
        <v>95</v>
      </c>
      <c r="W95" s="188" t="str">
        <f t="shared" si="4"/>
        <v>✔</v>
      </c>
      <c r="Y95" s="155"/>
      <c r="Z95" s="233">
        <v>0</v>
      </c>
      <c r="AA95" s="233">
        <v>30</v>
      </c>
      <c r="AB95" s="233">
        <v>0</v>
      </c>
      <c r="AC95" s="233">
        <v>30</v>
      </c>
      <c r="AD95" s="181"/>
    </row>
    <row r="96" spans="1:30" ht="21" customHeight="1" thickBot="1">
      <c r="A96" s="205"/>
      <c r="B96" s="206"/>
      <c r="C96" s="243" t="s">
        <v>328</v>
      </c>
      <c r="D96" s="243"/>
      <c r="E96" s="243"/>
      <c r="F96" s="243"/>
      <c r="G96" s="244"/>
      <c r="H96" s="243"/>
      <c r="I96" s="327">
        <v>1.81</v>
      </c>
      <c r="J96" s="207" t="s">
        <v>262</v>
      </c>
      <c r="K96" s="207"/>
      <c r="L96" s="207"/>
      <c r="M96" s="207"/>
      <c r="N96" s="207"/>
      <c r="O96" s="207"/>
      <c r="P96" s="207"/>
      <c r="Q96" s="207"/>
      <c r="R96" s="327">
        <v>18</v>
      </c>
      <c r="S96" s="207" t="s">
        <v>300</v>
      </c>
      <c r="T96" s="207"/>
      <c r="U96" s="220"/>
      <c r="V96" s="42">
        <f t="shared" si="6"/>
        <v>96</v>
      </c>
      <c r="W96" s="188" t="str">
        <f t="shared" si="4"/>
        <v>✔</v>
      </c>
      <c r="Y96" s="155"/>
      <c r="Z96" s="233">
        <v>0</v>
      </c>
      <c r="AA96" s="233">
        <v>30</v>
      </c>
      <c r="AB96" s="233">
        <v>0</v>
      </c>
      <c r="AC96" s="245">
        <v>80</v>
      </c>
      <c r="AD96" s="181"/>
    </row>
    <row r="97" spans="1:30" ht="21" customHeight="1" thickBot="1">
      <c r="A97" s="205"/>
      <c r="B97" s="206"/>
      <c r="C97" s="243" t="s">
        <v>329</v>
      </c>
      <c r="D97" s="243"/>
      <c r="E97" s="243"/>
      <c r="F97" s="243"/>
      <c r="G97" s="244"/>
      <c r="H97" s="243"/>
      <c r="I97" s="327">
        <v>0</v>
      </c>
      <c r="J97" s="207" t="s">
        <v>262</v>
      </c>
      <c r="K97" s="207"/>
      <c r="L97" s="207"/>
      <c r="M97" s="207"/>
      <c r="N97" s="207"/>
      <c r="O97" s="207"/>
      <c r="P97" s="207"/>
      <c r="Q97" s="207"/>
      <c r="R97" s="327">
        <v>9</v>
      </c>
      <c r="S97" s="207" t="s">
        <v>300</v>
      </c>
      <c r="T97" s="207"/>
      <c r="U97" s="220"/>
      <c r="V97" s="42">
        <f t="shared" si="6"/>
        <v>97</v>
      </c>
      <c r="W97" s="188" t="str">
        <f t="shared" si="4"/>
        <v>✔</v>
      </c>
      <c r="Y97" s="155"/>
      <c r="Z97" s="233">
        <v>0</v>
      </c>
      <c r="AA97" s="233">
        <v>30</v>
      </c>
      <c r="AB97" s="233">
        <v>0</v>
      </c>
      <c r="AC97" s="245">
        <v>40</v>
      </c>
      <c r="AD97" s="181"/>
    </row>
    <row r="98" spans="1:30" ht="21" customHeight="1" thickBot="1">
      <c r="A98" s="205"/>
      <c r="B98" s="206"/>
      <c r="C98" s="243" t="s">
        <v>330</v>
      </c>
      <c r="D98" s="243"/>
      <c r="E98" s="243"/>
      <c r="F98" s="243"/>
      <c r="G98" s="244"/>
      <c r="H98" s="243"/>
      <c r="I98" s="327">
        <v>7.0000000000000007E-2</v>
      </c>
      <c r="J98" s="207" t="s">
        <v>262</v>
      </c>
      <c r="K98" s="207"/>
      <c r="L98" s="207"/>
      <c r="M98" s="207"/>
      <c r="N98" s="207"/>
      <c r="O98" s="207"/>
      <c r="P98" s="207"/>
      <c r="Q98" s="207"/>
      <c r="R98" s="327">
        <v>4</v>
      </c>
      <c r="S98" s="207" t="s">
        <v>300</v>
      </c>
      <c r="T98" s="207"/>
      <c r="U98" s="220"/>
      <c r="V98" s="42">
        <f t="shared" si="6"/>
        <v>98</v>
      </c>
      <c r="W98" s="188" t="str">
        <f t="shared" si="4"/>
        <v>✔</v>
      </c>
      <c r="Y98" s="155"/>
      <c r="Z98" s="233">
        <v>0</v>
      </c>
      <c r="AA98" s="233">
        <v>30</v>
      </c>
      <c r="AB98" s="233">
        <v>0</v>
      </c>
      <c r="AC98" s="233">
        <v>30</v>
      </c>
      <c r="AD98" s="181"/>
    </row>
    <row r="99" spans="1:30" ht="21" customHeight="1" thickBot="1">
      <c r="A99" s="205"/>
      <c r="B99" s="206"/>
      <c r="C99" s="243" t="s">
        <v>331</v>
      </c>
      <c r="D99" s="243"/>
      <c r="E99" s="243"/>
      <c r="F99" s="243"/>
      <c r="G99" s="244"/>
      <c r="H99" s="243"/>
      <c r="I99" s="327">
        <v>0.99</v>
      </c>
      <c r="J99" s="207" t="s">
        <v>262</v>
      </c>
      <c r="K99" s="207"/>
      <c r="L99" s="207"/>
      <c r="M99" s="207"/>
      <c r="N99" s="207"/>
      <c r="O99" s="207"/>
      <c r="P99" s="207"/>
      <c r="Q99" s="207"/>
      <c r="R99" s="327">
        <v>3</v>
      </c>
      <c r="S99" s="207" t="s">
        <v>300</v>
      </c>
      <c r="T99" s="207"/>
      <c r="U99" s="220"/>
      <c r="V99" s="42">
        <f t="shared" si="6"/>
        <v>99</v>
      </c>
      <c r="W99" s="188" t="str">
        <f t="shared" si="4"/>
        <v>✔</v>
      </c>
      <c r="Y99" s="155"/>
      <c r="Z99" s="233">
        <v>0</v>
      </c>
      <c r="AA99" s="233">
        <v>30</v>
      </c>
      <c r="AB99" s="233">
        <v>0</v>
      </c>
      <c r="AC99" s="233">
        <v>30</v>
      </c>
      <c r="AD99" s="181"/>
    </row>
    <row r="100" spans="1:30" ht="21" customHeight="1" thickBot="1">
      <c r="A100" s="205"/>
      <c r="B100" s="206"/>
      <c r="C100" s="243" t="s">
        <v>332</v>
      </c>
      <c r="D100" s="243"/>
      <c r="E100" s="243"/>
      <c r="F100" s="243"/>
      <c r="G100" s="244"/>
      <c r="H100" s="243"/>
      <c r="I100" s="327">
        <v>0.1</v>
      </c>
      <c r="J100" s="207" t="s">
        <v>262</v>
      </c>
      <c r="K100" s="207"/>
      <c r="L100" s="207"/>
      <c r="M100" s="207"/>
      <c r="N100" s="207"/>
      <c r="O100" s="207"/>
      <c r="P100" s="207"/>
      <c r="Q100" s="207"/>
      <c r="R100" s="327">
        <v>2</v>
      </c>
      <c r="S100" s="207" t="s">
        <v>300</v>
      </c>
      <c r="T100" s="207"/>
      <c r="U100" s="220"/>
      <c r="V100" s="42">
        <f t="shared" si="6"/>
        <v>100</v>
      </c>
      <c r="W100" s="188" t="str">
        <f t="shared" ref="W100:W133" si="7">IF(OR(I100="",R100=""),"未入力あり","✔")</f>
        <v>✔</v>
      </c>
      <c r="Y100" s="155"/>
      <c r="Z100" s="233">
        <v>0</v>
      </c>
      <c r="AA100" s="233">
        <v>30</v>
      </c>
      <c r="AB100" s="233">
        <v>0</v>
      </c>
      <c r="AC100" s="233">
        <v>30</v>
      </c>
      <c r="AD100" s="181"/>
    </row>
    <row r="101" spans="1:30" ht="21" customHeight="1" thickBot="1">
      <c r="A101" s="205"/>
      <c r="B101" s="206"/>
      <c r="C101" s="243" t="s">
        <v>333</v>
      </c>
      <c r="D101" s="243"/>
      <c r="E101" s="243"/>
      <c r="F101" s="243"/>
      <c r="G101" s="244"/>
      <c r="H101" s="243"/>
      <c r="I101" s="327">
        <v>0.06</v>
      </c>
      <c r="J101" s="207" t="s">
        <v>262</v>
      </c>
      <c r="K101" s="207"/>
      <c r="L101" s="207"/>
      <c r="M101" s="207"/>
      <c r="N101" s="207"/>
      <c r="O101" s="207"/>
      <c r="P101" s="207"/>
      <c r="Q101" s="207"/>
      <c r="R101" s="327">
        <v>4</v>
      </c>
      <c r="S101" s="207" t="s">
        <v>300</v>
      </c>
      <c r="T101" s="207"/>
      <c r="U101" s="220"/>
      <c r="V101" s="42">
        <f t="shared" si="6"/>
        <v>101</v>
      </c>
      <c r="W101" s="188" t="str">
        <f t="shared" si="7"/>
        <v>✔</v>
      </c>
      <c r="Y101" s="155"/>
      <c r="Z101" s="233">
        <v>0</v>
      </c>
      <c r="AA101" s="233">
        <v>30</v>
      </c>
      <c r="AB101" s="233">
        <v>0</v>
      </c>
      <c r="AC101" s="233">
        <v>30</v>
      </c>
      <c r="AD101" s="181"/>
    </row>
    <row r="102" spans="1:30" ht="21" customHeight="1" thickBot="1">
      <c r="A102" s="205"/>
      <c r="B102" s="206"/>
      <c r="C102" s="243" t="s">
        <v>334</v>
      </c>
      <c r="D102" s="243"/>
      <c r="E102" s="243"/>
      <c r="F102" s="243"/>
      <c r="G102" s="244"/>
      <c r="H102" s="243"/>
      <c r="I102" s="327">
        <v>0.06</v>
      </c>
      <c r="J102" s="207" t="s">
        <v>262</v>
      </c>
      <c r="K102" s="207"/>
      <c r="L102" s="207"/>
      <c r="M102" s="207"/>
      <c r="N102" s="207"/>
      <c r="O102" s="207"/>
      <c r="P102" s="207"/>
      <c r="Q102" s="207"/>
      <c r="R102" s="327">
        <v>1</v>
      </c>
      <c r="S102" s="207" t="s">
        <v>300</v>
      </c>
      <c r="T102" s="207"/>
      <c r="U102" s="220"/>
      <c r="V102" s="42">
        <f t="shared" si="6"/>
        <v>102</v>
      </c>
      <c r="W102" s="188" t="str">
        <f t="shared" si="7"/>
        <v>✔</v>
      </c>
      <c r="Y102" s="155"/>
      <c r="Z102" s="233">
        <v>0</v>
      </c>
      <c r="AA102" s="233">
        <v>30</v>
      </c>
      <c r="AB102" s="233">
        <v>0</v>
      </c>
      <c r="AC102" s="233">
        <v>30</v>
      </c>
      <c r="AD102" s="181"/>
    </row>
    <row r="103" spans="1:30" ht="21" customHeight="1" thickBot="1">
      <c r="A103" s="205"/>
      <c r="B103" s="206"/>
      <c r="C103" s="243" t="s">
        <v>335</v>
      </c>
      <c r="D103" s="243"/>
      <c r="E103" s="243"/>
      <c r="F103" s="243"/>
      <c r="G103" s="244"/>
      <c r="H103" s="243"/>
      <c r="I103" s="327">
        <v>0.22</v>
      </c>
      <c r="J103" s="207" t="s">
        <v>262</v>
      </c>
      <c r="K103" s="207"/>
      <c r="L103" s="207"/>
      <c r="M103" s="207"/>
      <c r="N103" s="207"/>
      <c r="O103" s="207"/>
      <c r="P103" s="207"/>
      <c r="Q103" s="207"/>
      <c r="R103" s="327">
        <v>0</v>
      </c>
      <c r="S103" s="207" t="s">
        <v>300</v>
      </c>
      <c r="T103" s="207"/>
      <c r="U103" s="220"/>
      <c r="V103" s="42">
        <f t="shared" si="6"/>
        <v>103</v>
      </c>
      <c r="W103" s="188" t="str">
        <f t="shared" si="7"/>
        <v>✔</v>
      </c>
      <c r="Y103" s="155"/>
      <c r="Z103" s="233">
        <v>0</v>
      </c>
      <c r="AA103" s="233">
        <v>30</v>
      </c>
      <c r="AB103" s="233">
        <v>0</v>
      </c>
      <c r="AC103" s="233">
        <v>30</v>
      </c>
      <c r="AD103" s="181"/>
    </row>
    <row r="104" spans="1:30" ht="21" customHeight="1" thickBot="1">
      <c r="A104" s="205"/>
      <c r="B104" s="206"/>
      <c r="C104" s="243" t="s">
        <v>336</v>
      </c>
      <c r="D104" s="243"/>
      <c r="E104" s="243"/>
      <c r="F104" s="243"/>
      <c r="G104" s="244"/>
      <c r="H104" s="243"/>
      <c r="I104" s="327">
        <v>0.22</v>
      </c>
      <c r="J104" s="207" t="s">
        <v>262</v>
      </c>
      <c r="K104" s="207"/>
      <c r="L104" s="207"/>
      <c r="M104" s="207"/>
      <c r="N104" s="207"/>
      <c r="O104" s="207"/>
      <c r="P104" s="207"/>
      <c r="Q104" s="207"/>
      <c r="R104" s="327">
        <v>2</v>
      </c>
      <c r="S104" s="207" t="s">
        <v>300</v>
      </c>
      <c r="T104" s="207"/>
      <c r="U104" s="220"/>
      <c r="V104" s="42">
        <f t="shared" si="6"/>
        <v>104</v>
      </c>
      <c r="W104" s="188" t="str">
        <f t="shared" si="7"/>
        <v>✔</v>
      </c>
      <c r="Y104" s="155"/>
      <c r="Z104" s="233">
        <v>0</v>
      </c>
      <c r="AA104" s="233">
        <v>30</v>
      </c>
      <c r="AB104" s="233">
        <v>0</v>
      </c>
      <c r="AC104" s="233">
        <v>30</v>
      </c>
      <c r="AD104" s="181"/>
    </row>
    <row r="105" spans="1:30" ht="21" customHeight="1" thickBot="1">
      <c r="A105" s="205"/>
      <c r="B105" s="206"/>
      <c r="C105" s="243" t="s">
        <v>337</v>
      </c>
      <c r="D105" s="243"/>
      <c r="E105" s="243"/>
      <c r="F105" s="243"/>
      <c r="G105" s="244"/>
      <c r="H105" s="243"/>
      <c r="I105" s="327">
        <v>0.22</v>
      </c>
      <c r="J105" s="207" t="s">
        <v>262</v>
      </c>
      <c r="K105" s="207"/>
      <c r="L105" s="207"/>
      <c r="M105" s="207"/>
      <c r="N105" s="207"/>
      <c r="O105" s="207"/>
      <c r="P105" s="207"/>
      <c r="Q105" s="207"/>
      <c r="R105" s="327">
        <v>0</v>
      </c>
      <c r="S105" s="207" t="s">
        <v>300</v>
      </c>
      <c r="T105" s="207"/>
      <c r="U105" s="220"/>
      <c r="V105" s="42">
        <f t="shared" si="6"/>
        <v>105</v>
      </c>
      <c r="W105" s="188" t="str">
        <f t="shared" ref="W105" si="8">IF(OR(I105="",R105=""),"未入力あり","✔")</f>
        <v>✔</v>
      </c>
      <c r="Y105" s="155"/>
      <c r="Z105" s="233">
        <v>0</v>
      </c>
      <c r="AA105" s="233">
        <v>30</v>
      </c>
      <c r="AB105" s="233">
        <v>0</v>
      </c>
      <c r="AC105" s="233">
        <v>30</v>
      </c>
      <c r="AD105" s="181"/>
    </row>
    <row r="106" spans="1:30" ht="21" customHeight="1" thickBot="1">
      <c r="A106" s="205"/>
      <c r="B106" s="206"/>
      <c r="C106" s="243" t="s">
        <v>338</v>
      </c>
      <c r="D106" s="243"/>
      <c r="E106" s="243"/>
      <c r="F106" s="243"/>
      <c r="G106" s="244"/>
      <c r="H106" s="243"/>
      <c r="I106" s="327">
        <v>0.22</v>
      </c>
      <c r="J106" s="207" t="s">
        <v>262</v>
      </c>
      <c r="K106" s="207"/>
      <c r="L106" s="207"/>
      <c r="M106" s="207"/>
      <c r="N106" s="207"/>
      <c r="O106" s="207"/>
      <c r="P106" s="207"/>
      <c r="Q106" s="207"/>
      <c r="R106" s="327">
        <v>2</v>
      </c>
      <c r="S106" s="207" t="s">
        <v>300</v>
      </c>
      <c r="T106" s="207"/>
      <c r="U106" s="220"/>
      <c r="V106" s="42">
        <f t="shared" si="6"/>
        <v>106</v>
      </c>
      <c r="W106" s="188" t="str">
        <f t="shared" si="7"/>
        <v>✔</v>
      </c>
      <c r="Y106" s="155"/>
      <c r="Z106" s="233">
        <v>0</v>
      </c>
      <c r="AA106" s="233">
        <v>30</v>
      </c>
      <c r="AB106" s="233">
        <v>0</v>
      </c>
      <c r="AC106" s="233">
        <v>30</v>
      </c>
      <c r="AD106" s="181"/>
    </row>
    <row r="107" spans="1:30" ht="21" customHeight="1" thickBot="1">
      <c r="A107" s="205"/>
      <c r="B107" s="206"/>
      <c r="C107" s="243" t="s">
        <v>339</v>
      </c>
      <c r="D107" s="243"/>
      <c r="E107" s="243"/>
      <c r="F107" s="243"/>
      <c r="G107" s="244"/>
      <c r="H107" s="243"/>
      <c r="I107" s="327">
        <v>0.8</v>
      </c>
      <c r="J107" s="207" t="s">
        <v>262</v>
      </c>
      <c r="K107" s="207"/>
      <c r="L107" s="207"/>
      <c r="M107" s="207"/>
      <c r="N107" s="207"/>
      <c r="O107" s="207"/>
      <c r="P107" s="207"/>
      <c r="Q107" s="207"/>
      <c r="R107" s="327">
        <v>1</v>
      </c>
      <c r="S107" s="207" t="s">
        <v>300</v>
      </c>
      <c r="T107" s="206"/>
      <c r="U107" s="223"/>
      <c r="V107" s="42">
        <f t="shared" si="6"/>
        <v>107</v>
      </c>
      <c r="W107" s="188" t="str">
        <f t="shared" si="7"/>
        <v>✔</v>
      </c>
      <c r="Y107" s="155"/>
      <c r="Z107" s="233">
        <v>0</v>
      </c>
      <c r="AA107" s="233">
        <v>30</v>
      </c>
      <c r="AB107" s="233">
        <v>0</v>
      </c>
      <c r="AC107" s="233">
        <v>30</v>
      </c>
      <c r="AD107" s="181"/>
    </row>
    <row r="108" spans="1:30" ht="21" customHeight="1" thickBot="1">
      <c r="A108" s="205"/>
      <c r="B108" s="206"/>
      <c r="C108" s="243" t="s">
        <v>340</v>
      </c>
      <c r="D108" s="243"/>
      <c r="E108" s="243"/>
      <c r="F108" s="243"/>
      <c r="G108" s="244"/>
      <c r="H108" s="251"/>
      <c r="I108" s="327">
        <v>0.8</v>
      </c>
      <c r="J108" s="207" t="s">
        <v>262</v>
      </c>
      <c r="K108" s="207"/>
      <c r="L108" s="207"/>
      <c r="M108" s="207"/>
      <c r="N108" s="207"/>
      <c r="O108" s="207"/>
      <c r="P108" s="207"/>
      <c r="Q108" s="207"/>
      <c r="R108" s="327">
        <v>1</v>
      </c>
      <c r="S108" s="207" t="s">
        <v>300</v>
      </c>
      <c r="T108" s="206"/>
      <c r="U108" s="223"/>
      <c r="V108" s="42">
        <f t="shared" si="6"/>
        <v>108</v>
      </c>
      <c r="W108" s="188" t="str">
        <f t="shared" si="7"/>
        <v>✔</v>
      </c>
      <c r="Y108" s="155"/>
      <c r="Z108" s="233">
        <v>0</v>
      </c>
      <c r="AA108" s="233">
        <v>30</v>
      </c>
      <c r="AB108" s="233">
        <v>0</v>
      </c>
      <c r="AC108" s="233">
        <v>30</v>
      </c>
      <c r="AD108" s="181"/>
    </row>
    <row r="109" spans="1:30" ht="21" customHeight="1" thickBot="1">
      <c r="A109" s="205"/>
      <c r="B109" s="206"/>
      <c r="C109" s="243" t="s">
        <v>341</v>
      </c>
      <c r="D109" s="243"/>
      <c r="E109" s="243"/>
      <c r="F109" s="243"/>
      <c r="G109" s="244"/>
      <c r="H109" s="252"/>
      <c r="I109" s="327">
        <v>0</v>
      </c>
      <c r="J109" s="207" t="s">
        <v>262</v>
      </c>
      <c r="K109" s="207"/>
      <c r="L109" s="207"/>
      <c r="M109" s="207"/>
      <c r="N109" s="207"/>
      <c r="O109" s="207"/>
      <c r="P109" s="207"/>
      <c r="Q109" s="207"/>
      <c r="R109" s="327">
        <v>0</v>
      </c>
      <c r="S109" s="207" t="s">
        <v>300</v>
      </c>
      <c r="T109" s="206"/>
      <c r="U109" s="223"/>
      <c r="V109" s="42">
        <f t="shared" si="6"/>
        <v>109</v>
      </c>
      <c r="W109" s="188" t="str">
        <f t="shared" si="7"/>
        <v>✔</v>
      </c>
      <c r="Y109" s="155"/>
      <c r="Z109" s="233">
        <v>0</v>
      </c>
      <c r="AA109" s="233">
        <v>30</v>
      </c>
      <c r="AB109" s="233">
        <v>0</v>
      </c>
      <c r="AC109" s="233">
        <v>30</v>
      </c>
      <c r="AD109" s="181"/>
    </row>
    <row r="110" spans="1:30" ht="21" customHeight="1" thickBot="1">
      <c r="A110" s="205"/>
      <c r="B110" s="206"/>
      <c r="C110" s="243" t="s">
        <v>342</v>
      </c>
      <c r="D110" s="243"/>
      <c r="E110" s="243"/>
      <c r="F110" s="243"/>
      <c r="G110" s="244"/>
      <c r="H110" s="243"/>
      <c r="I110" s="327">
        <v>0</v>
      </c>
      <c r="J110" s="207" t="s">
        <v>262</v>
      </c>
      <c r="K110" s="243"/>
      <c r="L110" s="207"/>
      <c r="M110" s="207"/>
      <c r="N110" s="207"/>
      <c r="O110" s="207"/>
      <c r="P110" s="207"/>
      <c r="Q110" s="207"/>
      <c r="R110" s="327">
        <v>3</v>
      </c>
      <c r="S110" s="207" t="s">
        <v>300</v>
      </c>
      <c r="T110" s="207"/>
      <c r="U110" s="220"/>
      <c r="V110" s="42">
        <f t="shared" si="6"/>
        <v>110</v>
      </c>
      <c r="W110" s="188" t="str">
        <f t="shared" si="7"/>
        <v>✔</v>
      </c>
      <c r="Y110" s="155"/>
      <c r="Z110" s="233">
        <v>0</v>
      </c>
      <c r="AA110" s="233">
        <v>30</v>
      </c>
      <c r="AB110" s="233">
        <v>0</v>
      </c>
      <c r="AC110" s="233">
        <v>30</v>
      </c>
      <c r="AD110" s="181"/>
    </row>
    <row r="111" spans="1:30" ht="21" customHeight="1" thickBot="1">
      <c r="A111" s="205"/>
      <c r="B111" s="206"/>
      <c r="C111" s="243" t="s">
        <v>343</v>
      </c>
      <c r="D111" s="243"/>
      <c r="E111" s="243"/>
      <c r="F111" s="243"/>
      <c r="G111" s="244"/>
      <c r="H111" s="243"/>
      <c r="I111" s="327">
        <v>0</v>
      </c>
      <c r="J111" s="207" t="s">
        <v>262</v>
      </c>
      <c r="K111" s="207"/>
      <c r="L111" s="207"/>
      <c r="M111" s="207"/>
      <c r="N111" s="207"/>
      <c r="O111" s="207"/>
      <c r="P111" s="207"/>
      <c r="Q111" s="207"/>
      <c r="R111" s="327">
        <v>5</v>
      </c>
      <c r="S111" s="207" t="s">
        <v>300</v>
      </c>
      <c r="T111" s="207"/>
      <c r="U111" s="220"/>
      <c r="V111" s="42">
        <f t="shared" si="6"/>
        <v>111</v>
      </c>
      <c r="W111" s="188" t="str">
        <f t="shared" si="7"/>
        <v>✔</v>
      </c>
      <c r="Y111" s="155"/>
      <c r="Z111" s="233">
        <v>0</v>
      </c>
      <c r="AA111" s="233">
        <v>30</v>
      </c>
      <c r="AB111" s="233">
        <v>0</v>
      </c>
      <c r="AC111" s="233">
        <v>30</v>
      </c>
      <c r="AD111" s="181"/>
    </row>
    <row r="112" spans="1:30" ht="21" customHeight="1" thickBot="1">
      <c r="A112" s="205"/>
      <c r="B112" s="206"/>
      <c r="C112" s="243" t="s">
        <v>344</v>
      </c>
      <c r="D112" s="243"/>
      <c r="E112" s="243"/>
      <c r="F112" s="243"/>
      <c r="G112" s="244"/>
      <c r="H112" s="243"/>
      <c r="I112" s="327">
        <v>0</v>
      </c>
      <c r="J112" s="207" t="s">
        <v>262</v>
      </c>
      <c r="K112" s="207"/>
      <c r="L112" s="207"/>
      <c r="M112" s="207"/>
      <c r="N112" s="207"/>
      <c r="O112" s="207"/>
      <c r="P112" s="207"/>
      <c r="Q112" s="207"/>
      <c r="R112" s="327">
        <v>4</v>
      </c>
      <c r="S112" s="207" t="s">
        <v>300</v>
      </c>
      <c r="T112" s="207"/>
      <c r="U112" s="220"/>
      <c r="V112" s="42">
        <f t="shared" si="6"/>
        <v>112</v>
      </c>
      <c r="W112" s="188" t="str">
        <f t="shared" si="7"/>
        <v>✔</v>
      </c>
      <c r="Y112" s="155"/>
      <c r="Z112" s="233">
        <v>0</v>
      </c>
      <c r="AA112" s="233">
        <v>30</v>
      </c>
      <c r="AB112" s="233">
        <v>0</v>
      </c>
      <c r="AC112" s="233">
        <v>30</v>
      </c>
      <c r="AD112" s="181"/>
    </row>
    <row r="113" spans="1:30" ht="21" customHeight="1" thickBot="1">
      <c r="A113" s="205"/>
      <c r="B113" s="206"/>
      <c r="C113" s="243" t="s">
        <v>345</v>
      </c>
      <c r="D113" s="243"/>
      <c r="E113" s="243"/>
      <c r="F113" s="243"/>
      <c r="G113" s="244"/>
      <c r="H113" s="243"/>
      <c r="I113" s="327">
        <v>0</v>
      </c>
      <c r="J113" s="207" t="s">
        <v>262</v>
      </c>
      <c r="K113" s="207"/>
      <c r="L113" s="207"/>
      <c r="M113" s="207"/>
      <c r="N113" s="207"/>
      <c r="O113" s="207"/>
      <c r="P113" s="207"/>
      <c r="Q113" s="207"/>
      <c r="R113" s="327">
        <v>1</v>
      </c>
      <c r="S113" s="207" t="s">
        <v>300</v>
      </c>
      <c r="T113" s="207"/>
      <c r="U113" s="220"/>
      <c r="V113" s="42">
        <f t="shared" si="6"/>
        <v>113</v>
      </c>
      <c r="W113" s="188" t="str">
        <f t="shared" si="7"/>
        <v>✔</v>
      </c>
      <c r="Y113" s="155"/>
      <c r="Z113" s="233">
        <v>0</v>
      </c>
      <c r="AA113" s="233">
        <v>30</v>
      </c>
      <c r="AB113" s="233">
        <v>0</v>
      </c>
      <c r="AC113" s="233">
        <v>30</v>
      </c>
      <c r="AD113" s="181"/>
    </row>
    <row r="114" spans="1:30" ht="21" customHeight="1" thickBot="1">
      <c r="A114" s="205"/>
      <c r="B114" s="206"/>
      <c r="C114" s="243" t="s">
        <v>346</v>
      </c>
      <c r="D114" s="243"/>
      <c r="E114" s="243"/>
      <c r="F114" s="243"/>
      <c r="G114" s="244"/>
      <c r="H114" s="243"/>
      <c r="I114" s="327">
        <v>0</v>
      </c>
      <c r="J114" s="207" t="s">
        <v>262</v>
      </c>
      <c r="K114" s="207"/>
      <c r="L114" s="207"/>
      <c r="M114" s="207"/>
      <c r="N114" s="207"/>
      <c r="O114" s="207"/>
      <c r="P114" s="207"/>
      <c r="Q114" s="207"/>
      <c r="R114" s="327">
        <v>0</v>
      </c>
      <c r="S114" s="207" t="s">
        <v>300</v>
      </c>
      <c r="T114" s="207"/>
      <c r="U114" s="220"/>
      <c r="V114" s="42">
        <f t="shared" si="6"/>
        <v>114</v>
      </c>
      <c r="W114" s="188" t="str">
        <f t="shared" si="7"/>
        <v>✔</v>
      </c>
      <c r="Y114" s="155"/>
      <c r="Z114" s="233">
        <v>0</v>
      </c>
      <c r="AA114" s="233">
        <v>30</v>
      </c>
      <c r="AB114" s="233">
        <v>0</v>
      </c>
      <c r="AC114" s="233">
        <v>30</v>
      </c>
      <c r="AD114" s="181"/>
    </row>
    <row r="115" spans="1:30" ht="21" customHeight="1" thickBot="1">
      <c r="A115" s="205"/>
      <c r="B115" s="206"/>
      <c r="C115" s="243" t="s">
        <v>347</v>
      </c>
      <c r="D115" s="243"/>
      <c r="E115" s="243"/>
      <c r="F115" s="243"/>
      <c r="G115" s="244"/>
      <c r="H115" s="243"/>
      <c r="I115" s="327">
        <v>0</v>
      </c>
      <c r="J115" s="207" t="s">
        <v>262</v>
      </c>
      <c r="K115" s="207"/>
      <c r="L115" s="207"/>
      <c r="M115" s="207"/>
      <c r="N115" s="207"/>
      <c r="O115" s="207"/>
      <c r="P115" s="207"/>
      <c r="Q115" s="207"/>
      <c r="R115" s="327">
        <v>1</v>
      </c>
      <c r="S115" s="207" t="s">
        <v>300</v>
      </c>
      <c r="T115" s="207"/>
      <c r="U115" s="220"/>
      <c r="V115" s="42">
        <f t="shared" si="6"/>
        <v>115</v>
      </c>
      <c r="W115" s="188" t="str">
        <f t="shared" si="7"/>
        <v>✔</v>
      </c>
      <c r="Y115" s="155"/>
      <c r="Z115" s="233">
        <v>0</v>
      </c>
      <c r="AA115" s="233">
        <v>30</v>
      </c>
      <c r="AB115" s="233">
        <v>0</v>
      </c>
      <c r="AC115" s="233">
        <v>30</v>
      </c>
      <c r="AD115" s="181"/>
    </row>
    <row r="116" spans="1:30" ht="21" customHeight="1" thickBot="1">
      <c r="A116" s="205"/>
      <c r="B116" s="206"/>
      <c r="C116" s="243" t="s">
        <v>348</v>
      </c>
      <c r="D116" s="243"/>
      <c r="E116" s="243"/>
      <c r="F116" s="243"/>
      <c r="G116" s="244"/>
      <c r="H116" s="243"/>
      <c r="I116" s="327">
        <v>0</v>
      </c>
      <c r="J116" s="207" t="s">
        <v>262</v>
      </c>
      <c r="K116" s="207"/>
      <c r="L116" s="207"/>
      <c r="M116" s="207"/>
      <c r="N116" s="207"/>
      <c r="O116" s="207"/>
      <c r="P116" s="207"/>
      <c r="Q116" s="207"/>
      <c r="R116" s="327">
        <v>1</v>
      </c>
      <c r="S116" s="207" t="s">
        <v>300</v>
      </c>
      <c r="T116" s="207"/>
      <c r="U116" s="220"/>
      <c r="V116" s="42">
        <f t="shared" si="6"/>
        <v>116</v>
      </c>
      <c r="W116" s="188" t="str">
        <f t="shared" si="7"/>
        <v>✔</v>
      </c>
      <c r="Y116" s="155"/>
      <c r="Z116" s="233">
        <v>0</v>
      </c>
      <c r="AA116" s="233">
        <v>30</v>
      </c>
      <c r="AB116" s="233">
        <v>0</v>
      </c>
      <c r="AC116" s="233">
        <v>30</v>
      </c>
      <c r="AD116" s="181"/>
    </row>
    <row r="117" spans="1:30" ht="21" customHeight="1" thickBot="1">
      <c r="A117" s="205"/>
      <c r="B117" s="206"/>
      <c r="C117" s="243" t="s">
        <v>349</v>
      </c>
      <c r="D117" s="243"/>
      <c r="E117" s="243"/>
      <c r="F117" s="243"/>
      <c r="G117" s="244"/>
      <c r="H117" s="243"/>
      <c r="I117" s="327">
        <v>0</v>
      </c>
      <c r="J117" s="207" t="s">
        <v>262</v>
      </c>
      <c r="K117" s="207"/>
      <c r="L117" s="207"/>
      <c r="M117" s="207"/>
      <c r="N117" s="207"/>
      <c r="O117" s="207"/>
      <c r="P117" s="207"/>
      <c r="Q117" s="207"/>
      <c r="R117" s="327">
        <v>0</v>
      </c>
      <c r="S117" s="207" t="s">
        <v>300</v>
      </c>
      <c r="T117" s="207"/>
      <c r="U117" s="220"/>
      <c r="V117" s="42">
        <f t="shared" si="6"/>
        <v>117</v>
      </c>
      <c r="W117" s="188" t="str">
        <f t="shared" ref="W117" si="9">IF(OR(I117="",R117=""),"未入力あり","✔")</f>
        <v>✔</v>
      </c>
      <c r="Y117" s="155"/>
      <c r="Z117" s="233">
        <v>0</v>
      </c>
      <c r="AA117" s="233">
        <v>30</v>
      </c>
      <c r="AB117" s="233">
        <v>0</v>
      </c>
      <c r="AC117" s="233">
        <v>30</v>
      </c>
      <c r="AD117" s="181"/>
    </row>
    <row r="118" spans="1:30" ht="21" customHeight="1" thickBot="1">
      <c r="A118" s="205"/>
      <c r="B118" s="206"/>
      <c r="C118" s="243" t="s">
        <v>350</v>
      </c>
      <c r="D118" s="243"/>
      <c r="E118" s="243"/>
      <c r="F118" s="243"/>
      <c r="G118" s="244"/>
      <c r="H118" s="243"/>
      <c r="I118" s="327">
        <v>0.02</v>
      </c>
      <c r="J118" s="207" t="s">
        <v>262</v>
      </c>
      <c r="K118" s="207"/>
      <c r="L118" s="207"/>
      <c r="M118" s="207"/>
      <c r="N118" s="207"/>
      <c r="O118" s="207"/>
      <c r="P118" s="207"/>
      <c r="Q118" s="207"/>
      <c r="R118" s="327">
        <v>0</v>
      </c>
      <c r="S118" s="207" t="s">
        <v>300</v>
      </c>
      <c r="T118" s="207"/>
      <c r="U118" s="220"/>
      <c r="V118" s="42">
        <f t="shared" si="6"/>
        <v>118</v>
      </c>
      <c r="W118" s="188" t="str">
        <f t="shared" si="7"/>
        <v>✔</v>
      </c>
      <c r="Y118" s="155"/>
      <c r="Z118" s="233">
        <v>0</v>
      </c>
      <c r="AA118" s="233">
        <v>30</v>
      </c>
      <c r="AB118" s="233">
        <v>0</v>
      </c>
      <c r="AC118" s="233">
        <v>30</v>
      </c>
      <c r="AD118" s="181"/>
    </row>
    <row r="119" spans="1:30" ht="21" customHeight="1" thickBot="1">
      <c r="A119" s="205"/>
      <c r="B119" s="206"/>
      <c r="C119" s="243" t="s">
        <v>351</v>
      </c>
      <c r="D119" s="243"/>
      <c r="E119" s="243"/>
      <c r="F119" s="243"/>
      <c r="G119" s="244"/>
      <c r="H119" s="243"/>
      <c r="I119" s="327">
        <v>0</v>
      </c>
      <c r="J119" s="207" t="s">
        <v>262</v>
      </c>
      <c r="K119" s="207"/>
      <c r="L119" s="207"/>
      <c r="M119" s="207"/>
      <c r="N119" s="207"/>
      <c r="O119" s="207"/>
      <c r="P119" s="207"/>
      <c r="Q119" s="207"/>
      <c r="R119" s="327">
        <v>0</v>
      </c>
      <c r="S119" s="207" t="s">
        <v>300</v>
      </c>
      <c r="T119" s="207"/>
      <c r="U119" s="220"/>
      <c r="V119" s="42">
        <f t="shared" si="6"/>
        <v>119</v>
      </c>
      <c r="W119" s="188" t="str">
        <f t="shared" si="7"/>
        <v>✔</v>
      </c>
      <c r="Y119" s="155"/>
      <c r="Z119" s="233">
        <v>0</v>
      </c>
      <c r="AA119" s="233">
        <v>30</v>
      </c>
      <c r="AB119" s="233">
        <v>0</v>
      </c>
      <c r="AC119" s="233">
        <v>30</v>
      </c>
      <c r="AD119" s="181"/>
    </row>
    <row r="120" spans="1:30" ht="21" customHeight="1" thickBot="1">
      <c r="A120" s="205"/>
      <c r="B120" s="206"/>
      <c r="C120" s="243" t="s">
        <v>352</v>
      </c>
      <c r="D120" s="243"/>
      <c r="E120" s="243"/>
      <c r="F120" s="243"/>
      <c r="G120" s="244"/>
      <c r="H120" s="243"/>
      <c r="I120" s="327">
        <v>0</v>
      </c>
      <c r="J120" s="207" t="s">
        <v>262</v>
      </c>
      <c r="K120" s="207"/>
      <c r="L120" s="207"/>
      <c r="M120" s="207"/>
      <c r="N120" s="207"/>
      <c r="O120" s="207"/>
      <c r="P120" s="207"/>
      <c r="Q120" s="207"/>
      <c r="R120" s="327">
        <v>0</v>
      </c>
      <c r="S120" s="207" t="s">
        <v>300</v>
      </c>
      <c r="T120" s="207"/>
      <c r="U120" s="220"/>
      <c r="V120" s="42">
        <f t="shared" si="6"/>
        <v>120</v>
      </c>
      <c r="W120" s="188" t="str">
        <f t="shared" si="7"/>
        <v>✔</v>
      </c>
      <c r="Y120" s="155"/>
      <c r="Z120" s="233">
        <v>0</v>
      </c>
      <c r="AA120" s="233">
        <v>30</v>
      </c>
      <c r="AB120" s="233">
        <v>0</v>
      </c>
      <c r="AC120" s="233">
        <v>30</v>
      </c>
      <c r="AD120" s="181"/>
    </row>
    <row r="121" spans="1:30" ht="21" customHeight="1" thickBot="1">
      <c r="A121" s="205"/>
      <c r="B121" s="206"/>
      <c r="C121" s="243" t="s">
        <v>353</v>
      </c>
      <c r="D121" s="243"/>
      <c r="E121" s="243"/>
      <c r="F121" s="243"/>
      <c r="G121" s="244"/>
      <c r="H121" s="243"/>
      <c r="I121" s="327">
        <v>0</v>
      </c>
      <c r="J121" s="207" t="s">
        <v>262</v>
      </c>
      <c r="K121" s="207"/>
      <c r="L121" s="207"/>
      <c r="M121" s="207"/>
      <c r="N121" s="207"/>
      <c r="O121" s="207"/>
      <c r="P121" s="207"/>
      <c r="Q121" s="207"/>
      <c r="R121" s="327">
        <v>3</v>
      </c>
      <c r="S121" s="207" t="s">
        <v>300</v>
      </c>
      <c r="T121" s="207"/>
      <c r="U121" s="220"/>
      <c r="V121" s="42">
        <f t="shared" si="6"/>
        <v>121</v>
      </c>
      <c r="W121" s="188" t="str">
        <f t="shared" si="7"/>
        <v>✔</v>
      </c>
      <c r="Y121" s="155"/>
      <c r="Z121" s="233">
        <v>0</v>
      </c>
      <c r="AA121" s="233">
        <v>30</v>
      </c>
      <c r="AB121" s="233">
        <v>0</v>
      </c>
      <c r="AC121" s="233">
        <v>30</v>
      </c>
      <c r="AD121" s="181"/>
    </row>
    <row r="122" spans="1:30" ht="21" customHeight="1" thickBot="1">
      <c r="A122" s="205"/>
      <c r="B122" s="206"/>
      <c r="C122" s="243" t="s">
        <v>354</v>
      </c>
      <c r="D122" s="243"/>
      <c r="E122" s="243"/>
      <c r="F122" s="243"/>
      <c r="G122" s="244"/>
      <c r="H122" s="243"/>
      <c r="I122" s="327">
        <v>0</v>
      </c>
      <c r="J122" s="207" t="s">
        <v>262</v>
      </c>
      <c r="K122" s="207"/>
      <c r="L122" s="207"/>
      <c r="M122" s="207"/>
      <c r="N122" s="207"/>
      <c r="O122" s="207"/>
      <c r="P122" s="207"/>
      <c r="Q122" s="207"/>
      <c r="R122" s="327">
        <v>0</v>
      </c>
      <c r="S122" s="207" t="s">
        <v>300</v>
      </c>
      <c r="T122" s="207"/>
      <c r="U122" s="220"/>
      <c r="V122" s="42">
        <f t="shared" si="6"/>
        <v>122</v>
      </c>
      <c r="W122" s="188" t="str">
        <f t="shared" si="7"/>
        <v>✔</v>
      </c>
      <c r="Y122" s="155"/>
      <c r="Z122" s="233">
        <v>0</v>
      </c>
      <c r="AA122" s="233">
        <v>30</v>
      </c>
      <c r="AB122" s="233">
        <v>0</v>
      </c>
      <c r="AC122" s="233">
        <v>30</v>
      </c>
      <c r="AD122" s="181"/>
    </row>
    <row r="123" spans="1:30" ht="21" customHeight="1" thickBot="1">
      <c r="A123" s="205"/>
      <c r="B123" s="206"/>
      <c r="C123" s="243" t="s">
        <v>355</v>
      </c>
      <c r="D123" s="243"/>
      <c r="E123" s="243"/>
      <c r="F123" s="243"/>
      <c r="G123" s="244"/>
      <c r="H123" s="243"/>
      <c r="I123" s="327">
        <v>0</v>
      </c>
      <c r="J123" s="207" t="s">
        <v>262</v>
      </c>
      <c r="K123" s="207"/>
      <c r="L123" s="207"/>
      <c r="M123" s="207"/>
      <c r="N123" s="207"/>
      <c r="O123" s="207"/>
      <c r="P123" s="207"/>
      <c r="Q123" s="207"/>
      <c r="R123" s="327">
        <v>1</v>
      </c>
      <c r="S123" s="207" t="s">
        <v>300</v>
      </c>
      <c r="T123" s="207"/>
      <c r="U123" s="220"/>
      <c r="V123" s="42">
        <f t="shared" si="6"/>
        <v>123</v>
      </c>
      <c r="W123" s="188" t="str">
        <f t="shared" si="7"/>
        <v>✔</v>
      </c>
      <c r="Y123" s="155"/>
      <c r="Z123" s="233">
        <v>0</v>
      </c>
      <c r="AA123" s="233">
        <v>30</v>
      </c>
      <c r="AB123" s="233">
        <v>0</v>
      </c>
      <c r="AC123" s="233">
        <v>30</v>
      </c>
      <c r="AD123" s="181"/>
    </row>
    <row r="124" spans="1:30" ht="21" customHeight="1" thickBot="1">
      <c r="A124" s="205"/>
      <c r="B124" s="206"/>
      <c r="C124" s="243" t="s">
        <v>356</v>
      </c>
      <c r="D124" s="243"/>
      <c r="E124" s="243"/>
      <c r="F124" s="243"/>
      <c r="G124" s="244"/>
      <c r="H124" s="243"/>
      <c r="I124" s="327">
        <v>0.1</v>
      </c>
      <c r="J124" s="207" t="s">
        <v>262</v>
      </c>
      <c r="K124" s="207"/>
      <c r="L124" s="207"/>
      <c r="M124" s="207"/>
      <c r="N124" s="207"/>
      <c r="O124" s="207"/>
      <c r="P124" s="207"/>
      <c r="Q124" s="207"/>
      <c r="R124" s="327">
        <v>5</v>
      </c>
      <c r="S124" s="207" t="s">
        <v>300</v>
      </c>
      <c r="T124" s="207"/>
      <c r="U124" s="220"/>
      <c r="V124" s="42">
        <f t="shared" si="6"/>
        <v>124</v>
      </c>
      <c r="W124" s="188" t="str">
        <f t="shared" si="7"/>
        <v>✔</v>
      </c>
      <c r="Y124" s="155"/>
      <c r="Z124" s="233">
        <v>0</v>
      </c>
      <c r="AA124" s="233">
        <v>30</v>
      </c>
      <c r="AB124" s="233">
        <v>0</v>
      </c>
      <c r="AC124" s="233">
        <v>30</v>
      </c>
      <c r="AD124" s="181"/>
    </row>
    <row r="125" spans="1:30" ht="21" customHeight="1" thickBot="1">
      <c r="A125" s="205"/>
      <c r="B125" s="206"/>
      <c r="C125" s="243" t="s">
        <v>357</v>
      </c>
      <c r="D125" s="243"/>
      <c r="E125" s="243"/>
      <c r="F125" s="243"/>
      <c r="G125" s="244"/>
      <c r="H125" s="243"/>
      <c r="I125" s="327">
        <v>0</v>
      </c>
      <c r="J125" s="207" t="s">
        <v>262</v>
      </c>
      <c r="K125" s="207"/>
      <c r="L125" s="207"/>
      <c r="M125" s="207"/>
      <c r="N125" s="207"/>
      <c r="O125" s="207"/>
      <c r="P125" s="207"/>
      <c r="Q125" s="207"/>
      <c r="R125" s="327">
        <v>1</v>
      </c>
      <c r="S125" s="207" t="s">
        <v>300</v>
      </c>
      <c r="T125" s="207"/>
      <c r="U125" s="220"/>
      <c r="V125" s="42">
        <f t="shared" si="6"/>
        <v>125</v>
      </c>
      <c r="W125" s="188" t="str">
        <f t="shared" si="7"/>
        <v>✔</v>
      </c>
      <c r="Y125" s="155"/>
      <c r="Z125" s="233">
        <v>0</v>
      </c>
      <c r="AA125" s="233">
        <v>30</v>
      </c>
      <c r="AB125" s="233">
        <v>0</v>
      </c>
      <c r="AC125" s="233">
        <v>30</v>
      </c>
      <c r="AD125" s="181"/>
    </row>
    <row r="126" spans="1:30" ht="21" customHeight="1" thickBot="1">
      <c r="A126" s="205"/>
      <c r="B126" s="206"/>
      <c r="C126" s="243" t="s">
        <v>358</v>
      </c>
      <c r="D126" s="243"/>
      <c r="E126" s="243"/>
      <c r="F126" s="243"/>
      <c r="G126" s="244"/>
      <c r="H126" s="243"/>
      <c r="I126" s="327">
        <v>0</v>
      </c>
      <c r="J126" s="207" t="s">
        <v>262</v>
      </c>
      <c r="K126" s="207"/>
      <c r="L126" s="207"/>
      <c r="M126" s="207"/>
      <c r="N126" s="207"/>
      <c r="O126" s="207"/>
      <c r="P126" s="207"/>
      <c r="Q126" s="207"/>
      <c r="R126" s="327">
        <v>1</v>
      </c>
      <c r="S126" s="207" t="s">
        <v>300</v>
      </c>
      <c r="T126" s="207"/>
      <c r="U126" s="220"/>
      <c r="V126" s="42">
        <f t="shared" si="6"/>
        <v>126</v>
      </c>
      <c r="W126" s="188" t="str">
        <f t="shared" si="7"/>
        <v>✔</v>
      </c>
      <c r="Y126" s="155"/>
      <c r="Z126" s="233">
        <v>0</v>
      </c>
      <c r="AA126" s="233">
        <v>30</v>
      </c>
      <c r="AB126" s="233">
        <v>0</v>
      </c>
      <c r="AC126" s="233">
        <v>30</v>
      </c>
      <c r="AD126" s="181"/>
    </row>
    <row r="127" spans="1:30" ht="21" customHeight="1" thickBot="1">
      <c r="A127" s="205"/>
      <c r="B127" s="206"/>
      <c r="C127" s="243" t="s">
        <v>359</v>
      </c>
      <c r="D127" s="243"/>
      <c r="E127" s="243"/>
      <c r="F127" s="243"/>
      <c r="G127" s="244"/>
      <c r="H127" s="243"/>
      <c r="I127" s="327">
        <v>0.11</v>
      </c>
      <c r="J127" s="207" t="s">
        <v>262</v>
      </c>
      <c r="K127" s="207"/>
      <c r="L127" s="207"/>
      <c r="M127" s="207"/>
      <c r="N127" s="207"/>
      <c r="O127" s="207"/>
      <c r="P127" s="207"/>
      <c r="Q127" s="207"/>
      <c r="R127" s="327">
        <v>0</v>
      </c>
      <c r="S127" s="207" t="s">
        <v>300</v>
      </c>
      <c r="T127" s="207"/>
      <c r="U127" s="220"/>
      <c r="V127" s="42">
        <f t="shared" si="6"/>
        <v>127</v>
      </c>
      <c r="W127" s="188" t="str">
        <f t="shared" si="7"/>
        <v>✔</v>
      </c>
      <c r="Y127" s="155"/>
      <c r="Z127" s="233">
        <v>0</v>
      </c>
      <c r="AA127" s="233">
        <v>30</v>
      </c>
      <c r="AB127" s="233">
        <v>0</v>
      </c>
      <c r="AC127" s="233">
        <v>30</v>
      </c>
      <c r="AD127" s="181"/>
    </row>
    <row r="128" spans="1:30" ht="21" customHeight="1" thickBot="1">
      <c r="A128" s="205"/>
      <c r="B128" s="206"/>
      <c r="C128" s="243" t="s">
        <v>360</v>
      </c>
      <c r="D128" s="243"/>
      <c r="E128" s="243"/>
      <c r="F128" s="243"/>
      <c r="G128" s="244"/>
      <c r="H128" s="243"/>
      <c r="I128" s="327">
        <v>0.22</v>
      </c>
      <c r="J128" s="207" t="s">
        <v>262</v>
      </c>
      <c r="K128" s="207"/>
      <c r="L128" s="207"/>
      <c r="M128" s="207"/>
      <c r="N128" s="207"/>
      <c r="O128" s="207"/>
      <c r="P128" s="207"/>
      <c r="Q128" s="207"/>
      <c r="R128" s="327">
        <v>0</v>
      </c>
      <c r="S128" s="207" t="s">
        <v>300</v>
      </c>
      <c r="T128" s="207"/>
      <c r="U128" s="220"/>
      <c r="V128" s="42">
        <f t="shared" si="6"/>
        <v>128</v>
      </c>
      <c r="W128" s="188" t="str">
        <f t="shared" si="7"/>
        <v>✔</v>
      </c>
      <c r="Y128" s="155"/>
      <c r="Z128" s="233">
        <v>0</v>
      </c>
      <c r="AA128" s="233">
        <v>30</v>
      </c>
      <c r="AB128" s="233">
        <v>0</v>
      </c>
      <c r="AC128" s="233">
        <v>30</v>
      </c>
      <c r="AD128" s="181"/>
    </row>
    <row r="129" spans="1:30" ht="21" customHeight="1" thickBot="1">
      <c r="A129" s="205"/>
      <c r="B129" s="206"/>
      <c r="C129" s="243" t="s">
        <v>361</v>
      </c>
      <c r="D129" s="243"/>
      <c r="E129" s="243"/>
      <c r="F129" s="243"/>
      <c r="G129" s="244"/>
      <c r="H129" s="243"/>
      <c r="I129" s="327">
        <v>0.1</v>
      </c>
      <c r="J129" s="207" t="s">
        <v>262</v>
      </c>
      <c r="K129" s="207"/>
      <c r="L129" s="207"/>
      <c r="M129" s="207"/>
      <c r="N129" s="207"/>
      <c r="O129" s="207"/>
      <c r="P129" s="207"/>
      <c r="Q129" s="207"/>
      <c r="R129" s="327">
        <v>0</v>
      </c>
      <c r="S129" s="207" t="s">
        <v>300</v>
      </c>
      <c r="T129" s="207"/>
      <c r="U129" s="220"/>
      <c r="V129" s="42">
        <f t="shared" si="6"/>
        <v>129</v>
      </c>
      <c r="W129" s="188" t="str">
        <f t="shared" si="7"/>
        <v>✔</v>
      </c>
      <c r="Y129" s="155"/>
      <c r="Z129" s="233">
        <v>0</v>
      </c>
      <c r="AA129" s="233">
        <v>30</v>
      </c>
      <c r="AB129" s="233">
        <v>0</v>
      </c>
      <c r="AC129" s="233">
        <v>30</v>
      </c>
      <c r="AD129" s="181"/>
    </row>
    <row r="130" spans="1:30" ht="21" customHeight="1" thickBot="1">
      <c r="A130" s="205"/>
      <c r="B130" s="206"/>
      <c r="C130" s="243" t="s">
        <v>362</v>
      </c>
      <c r="D130" s="243"/>
      <c r="E130" s="243"/>
      <c r="F130" s="243"/>
      <c r="G130" s="244"/>
      <c r="H130" s="243"/>
      <c r="I130" s="327">
        <v>0.06</v>
      </c>
      <c r="J130" s="207" t="s">
        <v>262</v>
      </c>
      <c r="K130" s="207"/>
      <c r="L130" s="207"/>
      <c r="M130" s="207"/>
      <c r="N130" s="207"/>
      <c r="O130" s="207"/>
      <c r="P130" s="207"/>
      <c r="Q130" s="207"/>
      <c r="R130" s="327">
        <v>11</v>
      </c>
      <c r="S130" s="207" t="s">
        <v>300</v>
      </c>
      <c r="T130" s="207"/>
      <c r="U130" s="220"/>
      <c r="V130" s="42">
        <f t="shared" si="6"/>
        <v>130</v>
      </c>
      <c r="W130" s="188" t="str">
        <f t="shared" si="7"/>
        <v>✔</v>
      </c>
      <c r="Y130" s="155"/>
      <c r="Z130" s="233">
        <v>0</v>
      </c>
      <c r="AA130" s="233">
        <v>30</v>
      </c>
      <c r="AB130" s="233">
        <v>0</v>
      </c>
      <c r="AC130" s="245">
        <v>70</v>
      </c>
      <c r="AD130" s="181"/>
    </row>
    <row r="131" spans="1:30" ht="21" customHeight="1" thickBot="1">
      <c r="A131" s="205"/>
      <c r="B131" s="206"/>
      <c r="C131" s="243" t="s">
        <v>363</v>
      </c>
      <c r="D131" s="243"/>
      <c r="E131" s="243"/>
      <c r="F131" s="243"/>
      <c r="G131" s="244"/>
      <c r="H131" s="243"/>
      <c r="I131" s="327">
        <v>0.1</v>
      </c>
      <c r="J131" s="207" t="s">
        <v>262</v>
      </c>
      <c r="K131" s="207"/>
      <c r="L131" s="207"/>
      <c r="M131" s="207"/>
      <c r="N131" s="207"/>
      <c r="O131" s="207"/>
      <c r="P131" s="207"/>
      <c r="Q131" s="207"/>
      <c r="R131" s="327">
        <v>0</v>
      </c>
      <c r="S131" s="207" t="s">
        <v>300</v>
      </c>
      <c r="T131" s="207"/>
      <c r="U131" s="220"/>
      <c r="V131" s="42">
        <f t="shared" si="6"/>
        <v>131</v>
      </c>
      <c r="W131" s="188" t="str">
        <f t="shared" si="7"/>
        <v>✔</v>
      </c>
      <c r="Y131" s="155"/>
      <c r="Z131" s="233">
        <v>0</v>
      </c>
      <c r="AA131" s="233">
        <v>30</v>
      </c>
      <c r="AB131" s="233">
        <v>0</v>
      </c>
      <c r="AC131" s="233">
        <v>30</v>
      </c>
      <c r="AD131" s="181"/>
    </row>
    <row r="132" spans="1:30" ht="21" customHeight="1" thickBot="1">
      <c r="A132" s="205"/>
      <c r="B132" s="206"/>
      <c r="C132" s="243" t="s">
        <v>364</v>
      </c>
      <c r="D132" s="243"/>
      <c r="E132" s="243"/>
      <c r="F132" s="243"/>
      <c r="G132" s="244"/>
      <c r="H132" s="243"/>
      <c r="I132" s="327">
        <v>0</v>
      </c>
      <c r="J132" s="207" t="s">
        <v>262</v>
      </c>
      <c r="K132" s="207"/>
      <c r="L132" s="207"/>
      <c r="M132" s="207"/>
      <c r="N132" s="207"/>
      <c r="O132" s="207"/>
      <c r="P132" s="207"/>
      <c r="Q132" s="207"/>
      <c r="R132" s="327">
        <v>0</v>
      </c>
      <c r="S132" s="207" t="s">
        <v>300</v>
      </c>
      <c r="T132" s="207"/>
      <c r="U132" s="220"/>
      <c r="V132" s="42">
        <f t="shared" si="6"/>
        <v>132</v>
      </c>
      <c r="W132" s="188" t="str">
        <f t="shared" si="7"/>
        <v>✔</v>
      </c>
      <c r="Y132" s="155"/>
      <c r="Z132" s="233">
        <v>0</v>
      </c>
      <c r="AA132" s="233">
        <v>30</v>
      </c>
      <c r="AB132" s="233">
        <v>0</v>
      </c>
      <c r="AC132" s="233">
        <v>30</v>
      </c>
      <c r="AD132" s="181"/>
    </row>
    <row r="133" spans="1:30" ht="21" customHeight="1" thickBot="1">
      <c r="A133" s="205"/>
      <c r="B133" s="206"/>
      <c r="C133" s="243" t="s">
        <v>365</v>
      </c>
      <c r="D133" s="243"/>
      <c r="E133" s="243"/>
      <c r="F133" s="243"/>
      <c r="G133" s="244"/>
      <c r="H133" s="243"/>
      <c r="I133" s="327">
        <v>0</v>
      </c>
      <c r="J133" s="207" t="s">
        <v>262</v>
      </c>
      <c r="K133" s="207"/>
      <c r="L133" s="207"/>
      <c r="M133" s="207"/>
      <c r="N133" s="207"/>
      <c r="O133" s="207"/>
      <c r="P133" s="207"/>
      <c r="Q133" s="207"/>
      <c r="R133" s="327">
        <v>5</v>
      </c>
      <c r="S133" s="207" t="s">
        <v>300</v>
      </c>
      <c r="T133" s="207"/>
      <c r="U133" s="220"/>
      <c r="V133" s="42">
        <f t="shared" si="6"/>
        <v>133</v>
      </c>
      <c r="W133" s="188" t="str">
        <f t="shared" si="7"/>
        <v>✔</v>
      </c>
      <c r="Y133" s="155"/>
      <c r="Z133" s="233">
        <v>0</v>
      </c>
      <c r="AA133" s="233">
        <v>30</v>
      </c>
      <c r="AB133" s="233">
        <v>0</v>
      </c>
      <c r="AC133" s="233">
        <v>30</v>
      </c>
      <c r="AD133" s="181"/>
    </row>
    <row r="134" spans="1:30" ht="21" customHeight="1" thickBot="1">
      <c r="A134" s="205"/>
      <c r="B134" s="206"/>
      <c r="C134" s="243" t="s">
        <v>366</v>
      </c>
      <c r="D134" s="243"/>
      <c r="E134" s="243"/>
      <c r="F134" s="243"/>
      <c r="G134" s="244"/>
      <c r="H134" s="243"/>
      <c r="I134" s="327">
        <v>0</v>
      </c>
      <c r="J134" s="207" t="s">
        <v>262</v>
      </c>
      <c r="K134" s="207"/>
      <c r="L134" s="207"/>
      <c r="M134" s="207"/>
      <c r="N134" s="207"/>
      <c r="O134" s="207"/>
      <c r="P134" s="207"/>
      <c r="Q134" s="207"/>
      <c r="R134" s="327">
        <v>6</v>
      </c>
      <c r="S134" s="207" t="s">
        <v>300</v>
      </c>
      <c r="T134" s="207"/>
      <c r="U134" s="220"/>
      <c r="V134" s="42">
        <f t="shared" si="6"/>
        <v>134</v>
      </c>
      <c r="W134" s="188" t="str">
        <f t="shared" ref="W134:W147" si="10">IF(OR(I134="",R134=""),"未入力あり","✔")</f>
        <v>✔</v>
      </c>
      <c r="Y134" s="155"/>
      <c r="Z134" s="233">
        <v>0</v>
      </c>
      <c r="AA134" s="233">
        <v>30</v>
      </c>
      <c r="AB134" s="233">
        <v>0</v>
      </c>
      <c r="AC134" s="233">
        <v>30</v>
      </c>
      <c r="AD134" s="181"/>
    </row>
    <row r="135" spans="1:30" ht="21" customHeight="1" thickBot="1">
      <c r="A135" s="205"/>
      <c r="B135" s="206"/>
      <c r="C135" s="243" t="s">
        <v>367</v>
      </c>
      <c r="D135" s="243"/>
      <c r="E135" s="243"/>
      <c r="F135" s="243"/>
      <c r="G135" s="244"/>
      <c r="H135" s="243"/>
      <c r="I135" s="327">
        <v>0</v>
      </c>
      <c r="J135" s="207" t="s">
        <v>262</v>
      </c>
      <c r="K135" s="207"/>
      <c r="L135" s="207"/>
      <c r="M135" s="207"/>
      <c r="N135" s="207"/>
      <c r="O135" s="207"/>
      <c r="P135" s="207"/>
      <c r="Q135" s="207"/>
      <c r="R135" s="327">
        <v>1</v>
      </c>
      <c r="S135" s="207" t="s">
        <v>300</v>
      </c>
      <c r="T135" s="207"/>
      <c r="U135" s="220"/>
      <c r="V135" s="42">
        <f t="shared" si="6"/>
        <v>135</v>
      </c>
      <c r="W135" s="188" t="str">
        <f t="shared" si="10"/>
        <v>✔</v>
      </c>
      <c r="Y135" s="155"/>
      <c r="Z135" s="233">
        <v>0</v>
      </c>
      <c r="AA135" s="233">
        <v>30</v>
      </c>
      <c r="AB135" s="233">
        <v>0</v>
      </c>
      <c r="AC135" s="233">
        <v>30</v>
      </c>
      <c r="AD135" s="181"/>
    </row>
    <row r="136" spans="1:30" ht="21" customHeight="1" thickBot="1">
      <c r="A136" s="205"/>
      <c r="B136" s="206"/>
      <c r="C136" s="243" t="s">
        <v>368</v>
      </c>
      <c r="D136" s="243"/>
      <c r="E136" s="243"/>
      <c r="F136" s="243"/>
      <c r="G136" s="244"/>
      <c r="H136" s="243"/>
      <c r="I136" s="327">
        <v>0.22</v>
      </c>
      <c r="J136" s="207" t="s">
        <v>262</v>
      </c>
      <c r="K136" s="207"/>
      <c r="L136" s="207"/>
      <c r="M136" s="207"/>
      <c r="N136" s="207"/>
      <c r="O136" s="207"/>
      <c r="P136" s="207"/>
      <c r="Q136" s="207"/>
      <c r="R136" s="327">
        <v>3</v>
      </c>
      <c r="S136" s="207" t="s">
        <v>300</v>
      </c>
      <c r="T136" s="207"/>
      <c r="U136" s="220"/>
      <c r="V136" s="42">
        <f t="shared" si="6"/>
        <v>136</v>
      </c>
      <c r="W136" s="188" t="str">
        <f t="shared" si="10"/>
        <v>✔</v>
      </c>
      <c r="Y136" s="155"/>
      <c r="Z136" s="233">
        <v>0</v>
      </c>
      <c r="AA136" s="233">
        <v>30</v>
      </c>
      <c r="AB136" s="233">
        <v>0</v>
      </c>
      <c r="AC136" s="233">
        <v>30</v>
      </c>
      <c r="AD136" s="181"/>
    </row>
    <row r="137" spans="1:30" ht="21" customHeight="1" thickBot="1">
      <c r="A137" s="205"/>
      <c r="B137" s="206"/>
      <c r="C137" s="243" t="s">
        <v>369</v>
      </c>
      <c r="D137" s="243"/>
      <c r="E137" s="243"/>
      <c r="F137" s="243"/>
      <c r="G137" s="244"/>
      <c r="H137" s="243"/>
      <c r="I137" s="327">
        <v>0</v>
      </c>
      <c r="J137" s="207" t="s">
        <v>262</v>
      </c>
      <c r="K137" s="207"/>
      <c r="L137" s="207"/>
      <c r="M137" s="207"/>
      <c r="N137" s="207"/>
      <c r="O137" s="207"/>
      <c r="P137" s="207"/>
      <c r="Q137" s="207"/>
      <c r="R137" s="327">
        <v>0</v>
      </c>
      <c r="S137" s="207" t="s">
        <v>300</v>
      </c>
      <c r="T137" s="207"/>
      <c r="U137" s="220"/>
      <c r="V137" s="42">
        <f t="shared" si="6"/>
        <v>137</v>
      </c>
      <c r="W137" s="188" t="str">
        <f t="shared" si="10"/>
        <v>✔</v>
      </c>
      <c r="Y137" s="155"/>
      <c r="Z137" s="233">
        <v>0</v>
      </c>
      <c r="AA137" s="233">
        <v>30</v>
      </c>
      <c r="AB137" s="233">
        <v>0</v>
      </c>
      <c r="AC137" s="233">
        <v>30</v>
      </c>
      <c r="AD137" s="181"/>
    </row>
    <row r="138" spans="1:30" ht="21" customHeight="1" thickBot="1">
      <c r="A138" s="205"/>
      <c r="B138" s="206"/>
      <c r="C138" s="243" t="s">
        <v>370</v>
      </c>
      <c r="D138" s="243"/>
      <c r="E138" s="243"/>
      <c r="F138" s="243"/>
      <c r="G138" s="244"/>
      <c r="H138" s="243"/>
      <c r="I138" s="327">
        <v>0</v>
      </c>
      <c r="J138" s="207" t="s">
        <v>262</v>
      </c>
      <c r="K138" s="207"/>
      <c r="L138" s="207"/>
      <c r="M138" s="207"/>
      <c r="N138" s="207"/>
      <c r="O138" s="207"/>
      <c r="P138" s="207"/>
      <c r="Q138" s="207"/>
      <c r="R138" s="327">
        <v>0</v>
      </c>
      <c r="S138" s="207" t="s">
        <v>300</v>
      </c>
      <c r="T138" s="207"/>
      <c r="U138" s="220"/>
      <c r="V138" s="42">
        <f t="shared" si="6"/>
        <v>138</v>
      </c>
      <c r="W138" s="188" t="str">
        <f t="shared" si="10"/>
        <v>✔</v>
      </c>
      <c r="Y138" s="155"/>
      <c r="Z138" s="233">
        <v>0</v>
      </c>
      <c r="AA138" s="233">
        <v>30</v>
      </c>
      <c r="AB138" s="233">
        <v>0</v>
      </c>
      <c r="AC138" s="233">
        <v>30</v>
      </c>
      <c r="AD138" s="181"/>
    </row>
    <row r="139" spans="1:30" ht="21" customHeight="1" thickBot="1">
      <c r="A139" s="205"/>
      <c r="B139" s="206"/>
      <c r="C139" s="243" t="s">
        <v>371</v>
      </c>
      <c r="D139" s="243"/>
      <c r="E139" s="243"/>
      <c r="F139" s="243"/>
      <c r="G139" s="244"/>
      <c r="H139" s="243"/>
      <c r="I139" s="327">
        <v>0</v>
      </c>
      <c r="J139" s="207" t="s">
        <v>262</v>
      </c>
      <c r="K139" s="207"/>
      <c r="L139" s="207"/>
      <c r="M139" s="207"/>
      <c r="N139" s="207"/>
      <c r="O139" s="207"/>
      <c r="P139" s="207"/>
      <c r="Q139" s="207"/>
      <c r="R139" s="327">
        <v>1</v>
      </c>
      <c r="S139" s="207" t="s">
        <v>300</v>
      </c>
      <c r="T139" s="207"/>
      <c r="U139" s="220"/>
      <c r="V139" s="42">
        <f t="shared" si="6"/>
        <v>139</v>
      </c>
      <c r="W139" s="188" t="str">
        <f t="shared" si="10"/>
        <v>✔</v>
      </c>
      <c r="Y139" s="155"/>
      <c r="Z139" s="233">
        <v>0</v>
      </c>
      <c r="AA139" s="233">
        <v>30</v>
      </c>
      <c r="AB139" s="233">
        <v>0</v>
      </c>
      <c r="AC139" s="233">
        <v>30</v>
      </c>
      <c r="AD139" s="181"/>
    </row>
    <row r="140" spans="1:30" ht="21" customHeight="1" thickBot="1">
      <c r="A140" s="205"/>
      <c r="B140" s="206"/>
      <c r="C140" s="243" t="s">
        <v>372</v>
      </c>
      <c r="D140" s="243"/>
      <c r="E140" s="243"/>
      <c r="F140" s="243"/>
      <c r="G140" s="244"/>
      <c r="H140" s="243"/>
      <c r="I140" s="327">
        <v>0</v>
      </c>
      <c r="J140" s="207" t="s">
        <v>262</v>
      </c>
      <c r="K140" s="207"/>
      <c r="L140" s="207"/>
      <c r="M140" s="207"/>
      <c r="N140" s="207"/>
      <c r="O140" s="207"/>
      <c r="P140" s="207"/>
      <c r="Q140" s="207"/>
      <c r="R140" s="327">
        <v>1</v>
      </c>
      <c r="S140" s="207" t="s">
        <v>262</v>
      </c>
      <c r="T140" s="207"/>
      <c r="U140" s="220"/>
      <c r="V140" s="42">
        <f t="shared" si="6"/>
        <v>140</v>
      </c>
      <c r="W140" s="188" t="str">
        <f t="shared" si="10"/>
        <v>✔</v>
      </c>
      <c r="Y140" s="155"/>
      <c r="Z140" s="233">
        <v>0</v>
      </c>
      <c r="AA140" s="233">
        <v>30</v>
      </c>
      <c r="AB140" s="233">
        <v>0</v>
      </c>
      <c r="AC140" s="233">
        <v>30</v>
      </c>
      <c r="AD140" s="181"/>
    </row>
    <row r="141" spans="1:30" ht="21" customHeight="1" thickBot="1">
      <c r="A141" s="205"/>
      <c r="B141" s="206"/>
      <c r="C141" s="243" t="s">
        <v>373</v>
      </c>
      <c r="D141" s="243"/>
      <c r="E141" s="243"/>
      <c r="F141" s="243"/>
      <c r="G141" s="244"/>
      <c r="H141" s="243"/>
      <c r="I141" s="327">
        <v>0</v>
      </c>
      <c r="J141" s="207" t="s">
        <v>262</v>
      </c>
      <c r="K141" s="207"/>
      <c r="L141" s="207"/>
      <c r="M141" s="207"/>
      <c r="N141" s="207"/>
      <c r="O141" s="207"/>
      <c r="P141" s="207"/>
      <c r="Q141" s="207"/>
      <c r="R141" s="327">
        <v>0</v>
      </c>
      <c r="S141" s="207" t="s">
        <v>300</v>
      </c>
      <c r="T141" s="207"/>
      <c r="U141" s="220"/>
      <c r="V141" s="42">
        <f t="shared" si="6"/>
        <v>141</v>
      </c>
      <c r="W141" s="188" t="str">
        <f t="shared" si="10"/>
        <v>✔</v>
      </c>
      <c r="Y141" s="155"/>
      <c r="Z141" s="233">
        <v>0</v>
      </c>
      <c r="AA141" s="233">
        <v>30</v>
      </c>
      <c r="AB141" s="233">
        <v>0</v>
      </c>
      <c r="AC141" s="233">
        <v>30</v>
      </c>
      <c r="AD141" s="181"/>
    </row>
    <row r="142" spans="1:30" ht="21" customHeight="1" thickBot="1">
      <c r="A142" s="205"/>
      <c r="B142" s="206"/>
      <c r="C142" s="253" t="s">
        <v>374</v>
      </c>
      <c r="D142" s="253"/>
      <c r="E142" s="253"/>
      <c r="F142" s="253"/>
      <c r="G142" s="253"/>
      <c r="H142" s="254"/>
      <c r="I142" s="327">
        <v>0</v>
      </c>
      <c r="J142" s="207" t="s">
        <v>262</v>
      </c>
      <c r="K142" s="207"/>
      <c r="L142" s="207"/>
      <c r="M142" s="207"/>
      <c r="N142" s="207"/>
      <c r="O142" s="207"/>
      <c r="P142" s="207"/>
      <c r="Q142" s="207"/>
      <c r="R142" s="327">
        <v>0</v>
      </c>
      <c r="S142" s="207" t="s">
        <v>300</v>
      </c>
      <c r="T142" s="207"/>
      <c r="U142" s="220"/>
      <c r="V142" s="42">
        <f t="shared" si="6"/>
        <v>142</v>
      </c>
      <c r="W142" s="188" t="str">
        <f t="shared" si="10"/>
        <v>✔</v>
      </c>
      <c r="Y142" s="155"/>
      <c r="Z142" s="233">
        <v>0</v>
      </c>
      <c r="AA142" s="233">
        <v>30</v>
      </c>
      <c r="AB142" s="233">
        <v>0</v>
      </c>
      <c r="AC142" s="233">
        <v>30</v>
      </c>
      <c r="AD142" s="181"/>
    </row>
    <row r="143" spans="1:30" ht="21" customHeight="1" thickBot="1">
      <c r="A143" s="205"/>
      <c r="B143" s="206"/>
      <c r="C143" s="243" t="s">
        <v>375</v>
      </c>
      <c r="D143" s="243"/>
      <c r="E143" s="243"/>
      <c r="F143" s="250"/>
      <c r="G143" s="244"/>
      <c r="H143" s="244"/>
      <c r="I143" s="327">
        <v>0</v>
      </c>
      <c r="J143" s="207" t="s">
        <v>262</v>
      </c>
      <c r="K143" s="207"/>
      <c r="L143" s="207"/>
      <c r="M143" s="207"/>
      <c r="N143" s="207"/>
      <c r="O143" s="207"/>
      <c r="P143" s="207"/>
      <c r="Q143" s="207"/>
      <c r="R143" s="327">
        <v>0</v>
      </c>
      <c r="S143" s="207" t="s">
        <v>300</v>
      </c>
      <c r="T143" s="207"/>
      <c r="U143" s="220"/>
      <c r="V143" s="42">
        <f t="shared" si="6"/>
        <v>143</v>
      </c>
      <c r="W143" s="188" t="str">
        <f t="shared" si="10"/>
        <v>✔</v>
      </c>
      <c r="Y143" s="155"/>
      <c r="Z143" s="233">
        <v>0</v>
      </c>
      <c r="AA143" s="233">
        <v>30</v>
      </c>
      <c r="AB143" s="233">
        <v>0</v>
      </c>
      <c r="AC143" s="233">
        <v>30</v>
      </c>
      <c r="AD143" s="181"/>
    </row>
    <row r="144" spans="1:30" ht="21" customHeight="1" thickBot="1">
      <c r="A144" s="205"/>
      <c r="B144" s="206"/>
      <c r="C144" s="243" t="s">
        <v>376</v>
      </c>
      <c r="D144" s="243"/>
      <c r="E144" s="243"/>
      <c r="F144" s="243"/>
      <c r="G144" s="244"/>
      <c r="H144" s="243"/>
      <c r="I144" s="327">
        <v>0</v>
      </c>
      <c r="J144" s="207" t="s">
        <v>262</v>
      </c>
      <c r="K144" s="207"/>
      <c r="L144" s="207"/>
      <c r="M144" s="207"/>
      <c r="N144" s="207"/>
      <c r="O144" s="207"/>
      <c r="P144" s="207"/>
      <c r="Q144" s="207"/>
      <c r="R144" s="327">
        <v>0</v>
      </c>
      <c r="S144" s="207" t="s">
        <v>300</v>
      </c>
      <c r="T144" s="207"/>
      <c r="U144" s="220"/>
      <c r="V144" s="42">
        <f t="shared" si="6"/>
        <v>144</v>
      </c>
      <c r="W144" s="188" t="str">
        <f t="shared" si="10"/>
        <v>✔</v>
      </c>
      <c r="Y144" s="155"/>
      <c r="Z144" s="233">
        <v>0</v>
      </c>
      <c r="AA144" s="233">
        <v>30</v>
      </c>
      <c r="AB144" s="233">
        <v>0</v>
      </c>
      <c r="AC144" s="233">
        <v>30</v>
      </c>
      <c r="AD144" s="181"/>
    </row>
    <row r="145" spans="1:30" ht="21" customHeight="1" thickBot="1">
      <c r="A145" s="205"/>
      <c r="B145" s="206"/>
      <c r="C145" s="246" t="s">
        <v>377</v>
      </c>
      <c r="D145" s="255"/>
      <c r="E145" s="255"/>
      <c r="F145" s="255"/>
      <c r="G145" s="256"/>
      <c r="H145" s="255"/>
      <c r="I145" s="327">
        <v>0</v>
      </c>
      <c r="J145" s="207" t="s">
        <v>262</v>
      </c>
      <c r="K145" s="207"/>
      <c r="L145" s="207"/>
      <c r="M145" s="207"/>
      <c r="N145" s="207"/>
      <c r="O145" s="207"/>
      <c r="P145" s="207"/>
      <c r="Q145" s="207"/>
      <c r="R145" s="327">
        <v>0</v>
      </c>
      <c r="S145" s="207" t="s">
        <v>300</v>
      </c>
      <c r="T145" s="207"/>
      <c r="U145" s="220"/>
      <c r="V145" s="42">
        <f t="shared" ref="V145:V203" si="11">+ROW()</f>
        <v>145</v>
      </c>
      <c r="W145" s="188" t="str">
        <f t="shared" si="10"/>
        <v>✔</v>
      </c>
      <c r="Y145" s="155"/>
      <c r="Z145" s="233">
        <v>0</v>
      </c>
      <c r="AA145" s="233">
        <v>30</v>
      </c>
      <c r="AB145" s="233">
        <v>0</v>
      </c>
      <c r="AC145" s="233">
        <v>30</v>
      </c>
      <c r="AD145" s="181"/>
    </row>
    <row r="146" spans="1:30" ht="21" customHeight="1" thickBot="1">
      <c r="A146" s="205"/>
      <c r="B146" s="206"/>
      <c r="C146" s="243" t="s">
        <v>378</v>
      </c>
      <c r="D146" s="255"/>
      <c r="E146" s="255"/>
      <c r="F146" s="255"/>
      <c r="G146" s="256"/>
      <c r="H146" s="255"/>
      <c r="I146" s="327">
        <v>0</v>
      </c>
      <c r="J146" s="207" t="s">
        <v>379</v>
      </c>
      <c r="K146" s="207"/>
      <c r="L146" s="207"/>
      <c r="M146" s="207"/>
      <c r="N146" s="207"/>
      <c r="O146" s="207"/>
      <c r="P146" s="207"/>
      <c r="Q146" s="207"/>
      <c r="R146" s="327">
        <v>2</v>
      </c>
      <c r="S146" s="207" t="s">
        <v>379</v>
      </c>
      <c r="T146" s="207"/>
      <c r="U146" s="220"/>
      <c r="V146" s="42">
        <f t="shared" si="11"/>
        <v>146</v>
      </c>
      <c r="W146" s="188" t="str">
        <f t="shared" si="10"/>
        <v>✔</v>
      </c>
      <c r="Y146" s="155"/>
      <c r="Z146" s="233">
        <v>0</v>
      </c>
      <c r="AA146" s="233">
        <v>30</v>
      </c>
      <c r="AB146" s="233">
        <v>0</v>
      </c>
      <c r="AC146" s="233">
        <v>30</v>
      </c>
      <c r="AD146" s="181"/>
    </row>
    <row r="147" spans="1:30" ht="21" customHeight="1" thickBot="1">
      <c r="A147" s="205"/>
      <c r="B147" s="206"/>
      <c r="C147" s="243" t="s">
        <v>380</v>
      </c>
      <c r="D147" s="243"/>
      <c r="E147" s="243"/>
      <c r="F147" s="243"/>
      <c r="G147" s="244"/>
      <c r="H147" s="243"/>
      <c r="I147" s="327">
        <v>0</v>
      </c>
      <c r="J147" s="207" t="s">
        <v>262</v>
      </c>
      <c r="K147" s="207"/>
      <c r="L147" s="207"/>
      <c r="M147" s="207"/>
      <c r="N147" s="207"/>
      <c r="O147" s="207"/>
      <c r="P147" s="207"/>
      <c r="Q147" s="207"/>
      <c r="R147" s="327">
        <v>0</v>
      </c>
      <c r="S147" s="207" t="s">
        <v>300</v>
      </c>
      <c r="T147" s="207"/>
      <c r="U147" s="220"/>
      <c r="V147" s="42">
        <f t="shared" si="11"/>
        <v>147</v>
      </c>
      <c r="W147" s="188" t="str">
        <f t="shared" si="10"/>
        <v>✔</v>
      </c>
      <c r="Y147" s="155"/>
      <c r="Z147" s="233">
        <v>0</v>
      </c>
      <c r="AA147" s="233">
        <v>30</v>
      </c>
      <c r="AB147" s="233">
        <v>0</v>
      </c>
      <c r="AC147" s="233">
        <v>30</v>
      </c>
      <c r="AD147" s="181"/>
    </row>
    <row r="148" spans="1:30" ht="21" customHeight="1" thickBot="1">
      <c r="A148" s="205"/>
      <c r="B148" s="206"/>
      <c r="C148" s="243" t="s">
        <v>381</v>
      </c>
      <c r="D148" s="255"/>
      <c r="E148" s="255"/>
      <c r="F148" s="255"/>
      <c r="G148" s="256"/>
      <c r="H148" s="255"/>
      <c r="I148" s="327">
        <v>0</v>
      </c>
      <c r="J148" s="207" t="s">
        <v>262</v>
      </c>
      <c r="K148" s="207"/>
      <c r="L148" s="207"/>
      <c r="M148" s="207"/>
      <c r="N148" s="207"/>
      <c r="O148" s="207"/>
      <c r="P148" s="207"/>
      <c r="Q148" s="207"/>
      <c r="R148" s="327">
        <v>0</v>
      </c>
      <c r="S148" s="207" t="s">
        <v>300</v>
      </c>
      <c r="T148" s="207"/>
      <c r="U148" s="220"/>
      <c r="V148" s="42">
        <f t="shared" si="11"/>
        <v>148</v>
      </c>
      <c r="W148" s="188" t="str">
        <f t="shared" ref="W148" si="12">IF(OR(I148="",R148=""),"未入力あり","✔")</f>
        <v>✔</v>
      </c>
      <c r="Y148" s="155"/>
      <c r="Z148" s="233">
        <v>0</v>
      </c>
      <c r="AA148" s="233">
        <v>30</v>
      </c>
      <c r="AB148" s="233">
        <v>0</v>
      </c>
      <c r="AC148" s="233">
        <v>30</v>
      </c>
      <c r="AD148" s="181"/>
    </row>
    <row r="149" spans="1:30" ht="20.100000000000001" customHeight="1">
      <c r="A149" s="205"/>
      <c r="B149" s="206"/>
      <c r="C149" s="198"/>
      <c r="D149" s="198"/>
      <c r="E149" s="198"/>
      <c r="F149" s="198"/>
      <c r="G149" s="200"/>
      <c r="H149" s="198"/>
      <c r="I149" s="257"/>
      <c r="J149" s="5"/>
      <c r="K149" s="5"/>
      <c r="L149" s="5"/>
      <c r="M149" s="5"/>
      <c r="N149" s="5"/>
      <c r="O149" s="5"/>
      <c r="P149" s="5"/>
      <c r="Q149" s="5"/>
      <c r="R149" s="257"/>
      <c r="S149" s="5"/>
      <c r="T149" s="207"/>
      <c r="U149" s="220"/>
      <c r="V149" s="42">
        <f t="shared" si="11"/>
        <v>149</v>
      </c>
      <c r="Y149" s="155"/>
      <c r="Z149" s="181"/>
      <c r="AA149" s="181"/>
      <c r="AB149" s="181"/>
      <c r="AC149" s="181"/>
      <c r="AD149" s="181"/>
    </row>
    <row r="150" spans="1:30" ht="20.100000000000001" customHeight="1" thickBot="1">
      <c r="A150" s="205"/>
      <c r="B150" s="206" t="s">
        <v>270</v>
      </c>
      <c r="C150" s="206"/>
      <c r="D150" s="206"/>
      <c r="E150" s="206"/>
      <c r="F150" s="206"/>
      <c r="G150" s="208"/>
      <c r="H150" s="206"/>
      <c r="I150" s="234"/>
      <c r="J150" s="5"/>
      <c r="K150" s="5"/>
      <c r="L150" s="5"/>
      <c r="M150" s="5"/>
      <c r="N150" s="5"/>
      <c r="O150" s="5"/>
      <c r="P150" s="5"/>
      <c r="Q150" s="5"/>
      <c r="R150" s="234"/>
      <c r="S150" s="5"/>
      <c r="T150" s="207"/>
      <c r="U150" s="220"/>
      <c r="V150" s="42">
        <f t="shared" si="11"/>
        <v>150</v>
      </c>
      <c r="Y150" s="155"/>
      <c r="Z150" s="181"/>
      <c r="AA150" s="181"/>
      <c r="AB150" s="181"/>
      <c r="AC150" s="181"/>
      <c r="AD150" s="181"/>
    </row>
    <row r="151" spans="1:30" ht="21" customHeight="1" thickBot="1">
      <c r="A151" s="205"/>
      <c r="B151" s="206"/>
      <c r="C151" s="206" t="s">
        <v>382</v>
      </c>
      <c r="D151" s="206"/>
      <c r="E151" s="206"/>
      <c r="F151" s="206"/>
      <c r="G151" s="208"/>
      <c r="H151" s="206"/>
      <c r="I151" s="327">
        <v>0</v>
      </c>
      <c r="J151" s="207" t="s">
        <v>262</v>
      </c>
      <c r="K151" s="207"/>
      <c r="L151" s="207"/>
      <c r="M151" s="207"/>
      <c r="N151" s="207"/>
      <c r="O151" s="207"/>
      <c r="P151" s="207"/>
      <c r="Q151" s="207"/>
      <c r="R151" s="327">
        <v>1</v>
      </c>
      <c r="S151" s="207" t="s">
        <v>262</v>
      </c>
      <c r="T151" s="207"/>
      <c r="U151" s="220"/>
      <c r="V151" s="42">
        <f t="shared" si="11"/>
        <v>151</v>
      </c>
      <c r="W151" s="188" t="str">
        <f>IF(OR(I151="",R151=""),"未入力あり","✔")</f>
        <v>✔</v>
      </c>
      <c r="Y151" s="155"/>
      <c r="Z151" s="233">
        <v>0</v>
      </c>
      <c r="AA151" s="233">
        <v>30</v>
      </c>
      <c r="AB151" s="233">
        <v>0</v>
      </c>
      <c r="AC151" s="233">
        <v>30</v>
      </c>
      <c r="AD151" s="181"/>
    </row>
    <row r="152" spans="1:30" ht="21" customHeight="1" thickBot="1">
      <c r="A152" s="205"/>
      <c r="B152" s="206"/>
      <c r="C152" s="206" t="s">
        <v>383</v>
      </c>
      <c r="D152" s="206"/>
      <c r="E152" s="206"/>
      <c r="F152" s="206"/>
      <c r="G152" s="208"/>
      <c r="H152" s="206"/>
      <c r="I152" s="327">
        <v>0</v>
      </c>
      <c r="J152" s="207" t="s">
        <v>262</v>
      </c>
      <c r="K152" s="207"/>
      <c r="L152" s="207"/>
      <c r="M152" s="207"/>
      <c r="N152" s="207"/>
      <c r="O152" s="207"/>
      <c r="P152" s="207"/>
      <c r="Q152" s="207"/>
      <c r="R152" s="327">
        <v>0</v>
      </c>
      <c r="S152" s="207" t="s">
        <v>262</v>
      </c>
      <c r="T152" s="207"/>
      <c r="U152" s="220"/>
      <c r="V152" s="42">
        <f t="shared" si="11"/>
        <v>152</v>
      </c>
      <c r="W152" s="188" t="str">
        <f>IF(OR(I152="",R152=""),"未入力あり","✔")</f>
        <v>✔</v>
      </c>
      <c r="Y152" s="155"/>
      <c r="Z152" s="233">
        <v>0</v>
      </c>
      <c r="AA152" s="233">
        <v>30</v>
      </c>
      <c r="AB152" s="233">
        <v>0</v>
      </c>
      <c r="AC152" s="233">
        <v>30</v>
      </c>
      <c r="AD152" s="181"/>
    </row>
    <row r="153" spans="1:30" ht="21" customHeight="1">
      <c r="A153" s="205"/>
      <c r="B153" s="206"/>
      <c r="C153" s="206"/>
      <c r="D153" s="206"/>
      <c r="E153" s="206"/>
      <c r="F153" s="206"/>
      <c r="G153" s="208"/>
      <c r="H153" s="206"/>
      <c r="I153" s="257"/>
      <c r="J153" s="207"/>
      <c r="K153" s="207"/>
      <c r="L153" s="207"/>
      <c r="M153" s="207"/>
      <c r="N153" s="207"/>
      <c r="O153" s="207"/>
      <c r="P153" s="207"/>
      <c r="Q153" s="207"/>
      <c r="R153" s="257"/>
      <c r="S153" s="207"/>
      <c r="T153" s="207"/>
      <c r="U153" s="220"/>
      <c r="V153" s="42">
        <f t="shared" si="11"/>
        <v>153</v>
      </c>
      <c r="Y153" s="155"/>
      <c r="Z153" s="181"/>
      <c r="AA153" s="181"/>
      <c r="AB153" s="181"/>
      <c r="AC153" s="181"/>
      <c r="AD153" s="181"/>
    </row>
    <row r="154" spans="1:30" ht="20.100000000000001" customHeight="1" thickBot="1">
      <c r="A154" s="205"/>
      <c r="B154" s="206" t="s">
        <v>384</v>
      </c>
      <c r="C154" s="206"/>
      <c r="D154" s="206"/>
      <c r="E154" s="206"/>
      <c r="F154" s="206"/>
      <c r="G154" s="208"/>
      <c r="H154" s="206"/>
      <c r="I154" s="234"/>
      <c r="J154" s="207"/>
      <c r="K154" s="207"/>
      <c r="L154" s="207"/>
      <c r="M154" s="207"/>
      <c r="N154" s="207"/>
      <c r="O154" s="207"/>
      <c r="P154" s="207"/>
      <c r="Q154" s="207"/>
      <c r="R154" s="234"/>
      <c r="S154" s="207"/>
      <c r="T154" s="207"/>
      <c r="U154" s="220"/>
      <c r="V154" s="42">
        <f t="shared" si="11"/>
        <v>154</v>
      </c>
      <c r="Y154" s="155"/>
      <c r="Z154" s="181"/>
      <c r="AA154" s="181"/>
      <c r="AB154" s="181"/>
      <c r="AC154" s="181"/>
      <c r="AD154" s="181"/>
    </row>
    <row r="155" spans="1:30" ht="20.100000000000001" customHeight="1" thickBot="1">
      <c r="A155" s="205"/>
      <c r="B155" s="206"/>
      <c r="C155" s="258" t="s">
        <v>385</v>
      </c>
      <c r="D155" s="206"/>
      <c r="E155" s="206"/>
      <c r="F155" s="206"/>
      <c r="G155" s="208"/>
      <c r="H155" s="206"/>
      <c r="I155" s="327">
        <v>0</v>
      </c>
      <c r="J155" s="207" t="s">
        <v>262</v>
      </c>
      <c r="K155" s="207"/>
      <c r="L155" s="207"/>
      <c r="M155" s="207"/>
      <c r="N155" s="207"/>
      <c r="O155" s="207"/>
      <c r="P155" s="207"/>
      <c r="Q155" s="207"/>
      <c r="R155" s="327">
        <v>1</v>
      </c>
      <c r="S155" s="207" t="s">
        <v>262</v>
      </c>
      <c r="T155" s="207"/>
      <c r="U155" s="220"/>
      <c r="V155" s="42">
        <f t="shared" si="11"/>
        <v>155</v>
      </c>
      <c r="W155" s="188" t="str">
        <f t="shared" ref="W155:W168" si="13">IF(OR(I155="",R155=""),"未入力あり","✔")</f>
        <v>✔</v>
      </c>
      <c r="Y155" s="155"/>
      <c r="Z155" s="233">
        <v>0</v>
      </c>
      <c r="AA155" s="233">
        <v>10</v>
      </c>
      <c r="AB155" s="233">
        <v>0</v>
      </c>
      <c r="AC155" s="233">
        <v>10</v>
      </c>
      <c r="AD155" s="181"/>
    </row>
    <row r="156" spans="1:30" ht="20.100000000000001" customHeight="1" thickBot="1">
      <c r="A156" s="205"/>
      <c r="B156" s="206"/>
      <c r="C156" s="258" t="s">
        <v>386</v>
      </c>
      <c r="D156" s="206"/>
      <c r="E156" s="206"/>
      <c r="F156" s="206"/>
      <c r="G156" s="208"/>
      <c r="H156" s="206"/>
      <c r="I156" s="327">
        <v>0</v>
      </c>
      <c r="J156" s="207" t="s">
        <v>262</v>
      </c>
      <c r="K156" s="207"/>
      <c r="L156" s="207"/>
      <c r="M156" s="207"/>
      <c r="N156" s="207"/>
      <c r="O156" s="207"/>
      <c r="P156" s="207"/>
      <c r="Q156" s="207"/>
      <c r="R156" s="327">
        <v>0</v>
      </c>
      <c r="S156" s="207" t="s">
        <v>262</v>
      </c>
      <c r="T156" s="207"/>
      <c r="U156" s="220"/>
      <c r="V156" s="42">
        <f t="shared" si="11"/>
        <v>156</v>
      </c>
      <c r="W156" s="188" t="str">
        <f t="shared" ref="W156" si="14">IF(OR(I156="",R156=""),"未入力あり","✔")</f>
        <v>✔</v>
      </c>
      <c r="Y156" s="155"/>
      <c r="Z156" s="233">
        <v>0</v>
      </c>
      <c r="AA156" s="233">
        <v>10</v>
      </c>
      <c r="AB156" s="233">
        <v>0</v>
      </c>
      <c r="AC156" s="233">
        <v>10</v>
      </c>
      <c r="AD156" s="181"/>
    </row>
    <row r="157" spans="1:30" ht="20.100000000000001" customHeight="1" thickBot="1">
      <c r="A157" s="205"/>
      <c r="B157" s="206"/>
      <c r="C157" s="258" t="s">
        <v>387</v>
      </c>
      <c r="D157" s="206"/>
      <c r="E157" s="206"/>
      <c r="F157" s="206"/>
      <c r="G157" s="208"/>
      <c r="H157" s="206"/>
      <c r="I157" s="327">
        <v>0</v>
      </c>
      <c r="J157" s="207" t="s">
        <v>262</v>
      </c>
      <c r="K157" s="207"/>
      <c r="L157" s="207"/>
      <c r="M157" s="207"/>
      <c r="N157" s="207"/>
      <c r="O157" s="207"/>
      <c r="P157" s="207"/>
      <c r="Q157" s="207"/>
      <c r="R157" s="327">
        <v>0</v>
      </c>
      <c r="S157" s="207" t="s">
        <v>262</v>
      </c>
      <c r="T157" s="207"/>
      <c r="U157" s="220"/>
      <c r="V157" s="42">
        <f t="shared" si="11"/>
        <v>157</v>
      </c>
      <c r="W157" s="188" t="str">
        <f t="shared" si="13"/>
        <v>✔</v>
      </c>
      <c r="Y157" s="155"/>
      <c r="Z157" s="233">
        <v>0</v>
      </c>
      <c r="AA157" s="233">
        <v>10</v>
      </c>
      <c r="AB157" s="233">
        <v>0</v>
      </c>
      <c r="AC157" s="233">
        <v>10</v>
      </c>
      <c r="AD157" s="181"/>
    </row>
    <row r="158" spans="1:30" ht="20.100000000000001" customHeight="1" thickBot="1">
      <c r="A158" s="205"/>
      <c r="B158" s="206"/>
      <c r="C158" s="258" t="s">
        <v>388</v>
      </c>
      <c r="D158" s="206"/>
      <c r="E158" s="206"/>
      <c r="F158" s="206"/>
      <c r="G158" s="208"/>
      <c r="H158" s="206"/>
      <c r="I158" s="327">
        <v>0</v>
      </c>
      <c r="J158" s="207" t="s">
        <v>262</v>
      </c>
      <c r="K158" s="207"/>
      <c r="L158" s="207"/>
      <c r="M158" s="207"/>
      <c r="N158" s="207"/>
      <c r="O158" s="207"/>
      <c r="P158" s="207"/>
      <c r="Q158" s="207"/>
      <c r="R158" s="327">
        <v>0</v>
      </c>
      <c r="S158" s="207" t="s">
        <v>262</v>
      </c>
      <c r="T158" s="207"/>
      <c r="U158" s="220"/>
      <c r="V158" s="42">
        <f t="shared" si="11"/>
        <v>158</v>
      </c>
      <c r="W158" s="188" t="str">
        <f t="shared" si="13"/>
        <v>✔</v>
      </c>
      <c r="Y158" s="155"/>
      <c r="Z158" s="233">
        <v>0</v>
      </c>
      <c r="AA158" s="233">
        <v>10</v>
      </c>
      <c r="AB158" s="233">
        <v>0</v>
      </c>
      <c r="AC158" s="233">
        <v>10</v>
      </c>
      <c r="AD158" s="181"/>
    </row>
    <row r="159" spans="1:30" ht="20.100000000000001" customHeight="1" thickBot="1">
      <c r="A159" s="205"/>
      <c r="B159" s="206"/>
      <c r="C159" s="258" t="s">
        <v>389</v>
      </c>
      <c r="D159" s="206"/>
      <c r="E159" s="206"/>
      <c r="F159" s="206"/>
      <c r="G159" s="208"/>
      <c r="H159" s="206"/>
      <c r="I159" s="327">
        <v>0</v>
      </c>
      <c r="J159" s="207" t="s">
        <v>262</v>
      </c>
      <c r="K159" s="207"/>
      <c r="L159" s="207"/>
      <c r="M159" s="207"/>
      <c r="N159" s="207"/>
      <c r="O159" s="207"/>
      <c r="P159" s="207"/>
      <c r="Q159" s="207"/>
      <c r="R159" s="327">
        <v>2</v>
      </c>
      <c r="S159" s="207" t="s">
        <v>262</v>
      </c>
      <c r="T159" s="207"/>
      <c r="U159" s="220"/>
      <c r="V159" s="42">
        <f t="shared" si="11"/>
        <v>159</v>
      </c>
      <c r="W159" s="188" t="str">
        <f t="shared" si="13"/>
        <v>✔</v>
      </c>
      <c r="Y159" s="155"/>
      <c r="Z159" s="233">
        <v>0</v>
      </c>
      <c r="AA159" s="233">
        <v>10</v>
      </c>
      <c r="AB159" s="233">
        <v>0</v>
      </c>
      <c r="AC159" s="233">
        <v>10</v>
      </c>
      <c r="AD159" s="181"/>
    </row>
    <row r="160" spans="1:30" ht="20.100000000000001" customHeight="1" thickBot="1">
      <c r="A160" s="205"/>
      <c r="B160" s="206"/>
      <c r="C160" s="258" t="s">
        <v>390</v>
      </c>
      <c r="D160" s="206"/>
      <c r="E160" s="206"/>
      <c r="F160" s="206"/>
      <c r="G160" s="208"/>
      <c r="H160" s="206"/>
      <c r="I160" s="327">
        <v>0</v>
      </c>
      <c r="J160" s="207" t="s">
        <v>262</v>
      </c>
      <c r="K160" s="207"/>
      <c r="L160" s="207"/>
      <c r="M160" s="207"/>
      <c r="N160" s="207"/>
      <c r="O160" s="207"/>
      <c r="P160" s="207"/>
      <c r="Q160" s="207"/>
      <c r="R160" s="327">
        <v>0</v>
      </c>
      <c r="S160" s="207" t="s">
        <v>262</v>
      </c>
      <c r="T160" s="207"/>
      <c r="U160" s="220"/>
      <c r="V160" s="42">
        <f t="shared" si="11"/>
        <v>160</v>
      </c>
      <c r="W160" s="188" t="str">
        <f t="shared" si="13"/>
        <v>✔</v>
      </c>
      <c r="Y160" s="155"/>
      <c r="Z160" s="233">
        <v>0</v>
      </c>
      <c r="AA160" s="233">
        <v>10</v>
      </c>
      <c r="AB160" s="233">
        <v>0</v>
      </c>
      <c r="AC160" s="233">
        <v>10</v>
      </c>
      <c r="AD160" s="181"/>
    </row>
    <row r="161" spans="1:30" ht="20.100000000000001" customHeight="1" thickBot="1">
      <c r="A161" s="205"/>
      <c r="B161" s="206"/>
      <c r="C161" s="258" t="s">
        <v>391</v>
      </c>
      <c r="D161" s="206"/>
      <c r="E161" s="206"/>
      <c r="F161" s="206"/>
      <c r="G161" s="208"/>
      <c r="H161" s="206"/>
      <c r="I161" s="327">
        <v>0</v>
      </c>
      <c r="J161" s="207" t="s">
        <v>262</v>
      </c>
      <c r="K161" s="207"/>
      <c r="L161" s="207"/>
      <c r="M161" s="207"/>
      <c r="N161" s="207"/>
      <c r="O161" s="207"/>
      <c r="P161" s="207"/>
      <c r="Q161" s="207"/>
      <c r="R161" s="327">
        <v>0</v>
      </c>
      <c r="S161" s="207" t="s">
        <v>262</v>
      </c>
      <c r="T161" s="207"/>
      <c r="U161" s="220"/>
      <c r="V161" s="42">
        <f t="shared" si="11"/>
        <v>161</v>
      </c>
      <c r="W161" s="188" t="str">
        <f t="shared" si="13"/>
        <v>✔</v>
      </c>
      <c r="Y161" s="155"/>
      <c r="Z161" s="233">
        <v>0</v>
      </c>
      <c r="AA161" s="233">
        <v>10</v>
      </c>
      <c r="AB161" s="233">
        <v>0</v>
      </c>
      <c r="AC161" s="233">
        <v>10</v>
      </c>
      <c r="AD161" s="181"/>
    </row>
    <row r="162" spans="1:30" ht="20.100000000000001" customHeight="1" thickBot="1">
      <c r="A162" s="205"/>
      <c r="B162" s="206"/>
      <c r="C162" s="258" t="s">
        <v>392</v>
      </c>
      <c r="D162" s="206"/>
      <c r="E162" s="206"/>
      <c r="F162" s="206"/>
      <c r="G162" s="208"/>
      <c r="H162" s="206"/>
      <c r="I162" s="327">
        <v>0</v>
      </c>
      <c r="J162" s="207" t="s">
        <v>262</v>
      </c>
      <c r="K162" s="207"/>
      <c r="L162" s="207"/>
      <c r="M162" s="207"/>
      <c r="N162" s="207"/>
      <c r="O162" s="207"/>
      <c r="P162" s="207"/>
      <c r="Q162" s="207"/>
      <c r="R162" s="327">
        <v>0</v>
      </c>
      <c r="S162" s="207" t="s">
        <v>262</v>
      </c>
      <c r="T162" s="207"/>
      <c r="U162" s="220"/>
      <c r="V162" s="42">
        <f t="shared" si="11"/>
        <v>162</v>
      </c>
      <c r="W162" s="188" t="str">
        <f t="shared" si="13"/>
        <v>✔</v>
      </c>
      <c r="Y162" s="155"/>
      <c r="Z162" s="233">
        <v>0</v>
      </c>
      <c r="AA162" s="233">
        <v>10</v>
      </c>
      <c r="AB162" s="233">
        <v>0</v>
      </c>
      <c r="AC162" s="233">
        <v>10</v>
      </c>
      <c r="AD162" s="181"/>
    </row>
    <row r="163" spans="1:30" ht="20.100000000000001" customHeight="1" thickBot="1">
      <c r="A163" s="205"/>
      <c r="B163" s="206"/>
      <c r="C163" s="258" t="s">
        <v>393</v>
      </c>
      <c r="D163" s="206"/>
      <c r="E163" s="206"/>
      <c r="F163" s="206"/>
      <c r="G163" s="208"/>
      <c r="H163" s="206"/>
      <c r="I163" s="327">
        <v>0</v>
      </c>
      <c r="J163" s="207" t="s">
        <v>262</v>
      </c>
      <c r="K163" s="207"/>
      <c r="L163" s="207"/>
      <c r="M163" s="207"/>
      <c r="N163" s="207"/>
      <c r="O163" s="207"/>
      <c r="P163" s="207"/>
      <c r="Q163" s="207"/>
      <c r="R163" s="327">
        <v>0</v>
      </c>
      <c r="S163" s="207" t="s">
        <v>262</v>
      </c>
      <c r="T163" s="207"/>
      <c r="U163" s="220"/>
      <c r="V163" s="42">
        <f t="shared" si="11"/>
        <v>163</v>
      </c>
      <c r="W163" s="188" t="str">
        <f t="shared" si="13"/>
        <v>✔</v>
      </c>
      <c r="Y163" s="155"/>
      <c r="Z163" s="233">
        <v>0</v>
      </c>
      <c r="AA163" s="233">
        <v>10</v>
      </c>
      <c r="AB163" s="233">
        <v>0</v>
      </c>
      <c r="AC163" s="233">
        <v>10</v>
      </c>
      <c r="AD163" s="181"/>
    </row>
    <row r="164" spans="1:30" ht="20.100000000000001" customHeight="1" thickBot="1">
      <c r="A164" s="205"/>
      <c r="B164" s="206"/>
      <c r="C164" s="258" t="s">
        <v>394</v>
      </c>
      <c r="D164" s="206"/>
      <c r="E164" s="206"/>
      <c r="F164" s="206"/>
      <c r="G164" s="208"/>
      <c r="H164" s="206"/>
      <c r="I164" s="327">
        <v>0</v>
      </c>
      <c r="J164" s="207" t="s">
        <v>262</v>
      </c>
      <c r="K164" s="207"/>
      <c r="L164" s="207"/>
      <c r="M164" s="207"/>
      <c r="N164" s="207"/>
      <c r="O164" s="207"/>
      <c r="P164" s="207"/>
      <c r="Q164" s="207"/>
      <c r="R164" s="327">
        <v>0</v>
      </c>
      <c r="S164" s="207" t="s">
        <v>262</v>
      </c>
      <c r="T164" s="207"/>
      <c r="U164" s="220"/>
      <c r="V164" s="42">
        <f t="shared" si="11"/>
        <v>164</v>
      </c>
      <c r="W164" s="188" t="str">
        <f t="shared" si="13"/>
        <v>✔</v>
      </c>
      <c r="Y164" s="155"/>
      <c r="Z164" s="233">
        <v>0</v>
      </c>
      <c r="AA164" s="233">
        <v>10</v>
      </c>
      <c r="AB164" s="233">
        <v>0</v>
      </c>
      <c r="AC164" s="233">
        <v>10</v>
      </c>
      <c r="AD164" s="181"/>
    </row>
    <row r="165" spans="1:30" ht="20.100000000000001" customHeight="1" thickBot="1">
      <c r="A165" s="205"/>
      <c r="B165" s="206"/>
      <c r="C165" s="206" t="s">
        <v>395</v>
      </c>
      <c r="D165" s="206"/>
      <c r="E165" s="206"/>
      <c r="F165" s="206"/>
      <c r="G165" s="208"/>
      <c r="H165" s="206"/>
      <c r="I165" s="327">
        <v>0</v>
      </c>
      <c r="J165" s="207" t="s">
        <v>262</v>
      </c>
      <c r="K165" s="207"/>
      <c r="L165" s="207"/>
      <c r="M165" s="207"/>
      <c r="N165" s="207"/>
      <c r="O165" s="207"/>
      <c r="P165" s="207"/>
      <c r="Q165" s="207"/>
      <c r="R165" s="327">
        <v>2</v>
      </c>
      <c r="S165" s="207" t="s">
        <v>262</v>
      </c>
      <c r="T165" s="207"/>
      <c r="U165" s="220"/>
      <c r="V165" s="42">
        <f t="shared" si="11"/>
        <v>165</v>
      </c>
      <c r="W165" s="188" t="str">
        <f t="shared" si="13"/>
        <v>✔</v>
      </c>
      <c r="Y165" s="155"/>
      <c r="Z165" s="233">
        <v>0</v>
      </c>
      <c r="AA165" s="233">
        <v>10</v>
      </c>
      <c r="AB165" s="233">
        <v>0</v>
      </c>
      <c r="AC165" s="233">
        <v>10</v>
      </c>
      <c r="AD165" s="181"/>
    </row>
    <row r="166" spans="1:30" ht="20.100000000000001" customHeight="1" thickBot="1">
      <c r="A166" s="205"/>
      <c r="B166" s="206"/>
      <c r="C166" s="206" t="s">
        <v>396</v>
      </c>
      <c r="D166" s="206"/>
      <c r="E166" s="206"/>
      <c r="F166" s="206"/>
      <c r="G166" s="208"/>
      <c r="H166" s="206"/>
      <c r="I166" s="327">
        <v>0</v>
      </c>
      <c r="J166" s="207" t="s">
        <v>262</v>
      </c>
      <c r="K166" s="207"/>
      <c r="L166" s="207"/>
      <c r="M166" s="207"/>
      <c r="N166" s="207"/>
      <c r="O166" s="207"/>
      <c r="P166" s="207"/>
      <c r="Q166" s="207"/>
      <c r="R166" s="327">
        <v>4</v>
      </c>
      <c r="S166" s="207" t="s">
        <v>262</v>
      </c>
      <c r="T166" s="207"/>
      <c r="U166" s="220"/>
      <c r="V166" s="42">
        <f t="shared" si="11"/>
        <v>166</v>
      </c>
      <c r="W166" s="188" t="str">
        <f t="shared" si="13"/>
        <v>✔</v>
      </c>
      <c r="Y166" s="155"/>
      <c r="Z166" s="233">
        <v>0</v>
      </c>
      <c r="AA166" s="233">
        <v>10</v>
      </c>
      <c r="AB166" s="233">
        <v>0</v>
      </c>
      <c r="AC166" s="233">
        <v>10</v>
      </c>
      <c r="AD166" s="181"/>
    </row>
    <row r="167" spans="1:30" ht="20.100000000000001" customHeight="1" thickBot="1">
      <c r="A167" s="205"/>
      <c r="B167" s="206"/>
      <c r="C167" s="206" t="s">
        <v>397</v>
      </c>
      <c r="D167" s="206"/>
      <c r="E167" s="206"/>
      <c r="F167" s="206"/>
      <c r="G167" s="208"/>
      <c r="H167" s="206"/>
      <c r="I167" s="327">
        <v>0</v>
      </c>
      <c r="J167" s="207" t="s">
        <v>262</v>
      </c>
      <c r="K167" s="207"/>
      <c r="L167" s="207"/>
      <c r="M167" s="207"/>
      <c r="N167" s="207"/>
      <c r="O167" s="207"/>
      <c r="P167" s="207"/>
      <c r="Q167" s="207"/>
      <c r="R167" s="327">
        <v>3</v>
      </c>
      <c r="S167" s="207" t="s">
        <v>262</v>
      </c>
      <c r="T167" s="207"/>
      <c r="U167" s="220"/>
      <c r="V167" s="42">
        <f t="shared" si="11"/>
        <v>167</v>
      </c>
      <c r="W167" s="188" t="str">
        <f t="shared" si="13"/>
        <v>✔</v>
      </c>
      <c r="Y167" s="155"/>
      <c r="Z167" s="233">
        <v>0</v>
      </c>
      <c r="AA167" s="233">
        <v>10</v>
      </c>
      <c r="AB167" s="233">
        <v>0</v>
      </c>
      <c r="AC167" s="233">
        <v>10</v>
      </c>
      <c r="AD167" s="181"/>
    </row>
    <row r="168" spans="1:30" ht="20.100000000000001" customHeight="1" thickBot="1">
      <c r="A168" s="205"/>
      <c r="B168" s="206"/>
      <c r="C168" s="206" t="s">
        <v>398</v>
      </c>
      <c r="D168" s="206"/>
      <c r="E168" s="206"/>
      <c r="F168" s="206"/>
      <c r="G168" s="208"/>
      <c r="H168" s="206"/>
      <c r="I168" s="327">
        <v>0</v>
      </c>
      <c r="J168" s="207" t="s">
        <v>262</v>
      </c>
      <c r="K168" s="207"/>
      <c r="L168" s="207"/>
      <c r="M168" s="207"/>
      <c r="N168" s="207"/>
      <c r="O168" s="207"/>
      <c r="P168" s="207"/>
      <c r="Q168" s="207"/>
      <c r="R168" s="327">
        <v>0</v>
      </c>
      <c r="S168" s="207" t="s">
        <v>262</v>
      </c>
      <c r="T168" s="207"/>
      <c r="U168" s="220"/>
      <c r="V168" s="42">
        <f t="shared" si="11"/>
        <v>168</v>
      </c>
      <c r="W168" s="188" t="str">
        <f t="shared" si="13"/>
        <v>✔</v>
      </c>
      <c r="Y168" s="155"/>
      <c r="Z168" s="233">
        <v>0</v>
      </c>
      <c r="AA168" s="233">
        <v>10</v>
      </c>
      <c r="AB168" s="233">
        <v>0</v>
      </c>
      <c r="AC168" s="233">
        <v>10</v>
      </c>
      <c r="AD168" s="181"/>
    </row>
    <row r="169" spans="1:30" ht="20.100000000000001" customHeight="1" thickBot="1">
      <c r="A169" s="205"/>
      <c r="B169" s="206"/>
      <c r="C169" s="206" t="s">
        <v>399</v>
      </c>
      <c r="D169" s="206"/>
      <c r="E169" s="206"/>
      <c r="F169" s="206"/>
      <c r="G169" s="208"/>
      <c r="H169" s="206"/>
      <c r="I169" s="327">
        <v>0</v>
      </c>
      <c r="J169" s="207" t="s">
        <v>262</v>
      </c>
      <c r="K169" s="207"/>
      <c r="L169" s="207"/>
      <c r="M169" s="207"/>
      <c r="N169" s="207"/>
      <c r="O169" s="207"/>
      <c r="P169" s="207"/>
      <c r="Q169" s="207"/>
      <c r="R169" s="327">
        <v>0</v>
      </c>
      <c r="S169" s="207" t="s">
        <v>262</v>
      </c>
      <c r="T169" s="207"/>
      <c r="U169" s="220"/>
      <c r="V169" s="42">
        <f t="shared" si="11"/>
        <v>169</v>
      </c>
      <c r="W169" s="188" t="str">
        <f t="shared" ref="W169" si="15">IF(OR(I169="",R169=""),"未入力あり","✔")</f>
        <v>✔</v>
      </c>
      <c r="Y169" s="155"/>
      <c r="Z169" s="233">
        <v>0</v>
      </c>
      <c r="AA169" s="233">
        <v>10</v>
      </c>
      <c r="AB169" s="233">
        <v>0</v>
      </c>
      <c r="AC169" s="233">
        <v>10</v>
      </c>
      <c r="AD169" s="181"/>
    </row>
    <row r="170" spans="1:30" ht="20.100000000000001" customHeight="1" thickBot="1">
      <c r="A170" s="205"/>
      <c r="B170" s="206"/>
      <c r="C170" s="206" t="s">
        <v>400</v>
      </c>
      <c r="D170" s="206"/>
      <c r="E170" s="206"/>
      <c r="F170" s="206"/>
      <c r="G170" s="208"/>
      <c r="H170" s="206"/>
      <c r="I170" s="327">
        <v>0</v>
      </c>
      <c r="J170" s="207" t="s">
        <v>262</v>
      </c>
      <c r="K170" s="207"/>
      <c r="L170" s="207"/>
      <c r="M170" s="207"/>
      <c r="N170" s="207"/>
      <c r="O170" s="207"/>
      <c r="P170" s="207"/>
      <c r="Q170" s="207"/>
      <c r="R170" s="327">
        <v>1</v>
      </c>
      <c r="S170" s="207" t="s">
        <v>262</v>
      </c>
      <c r="T170" s="207"/>
      <c r="U170" s="220"/>
      <c r="V170" s="42">
        <f t="shared" si="11"/>
        <v>170</v>
      </c>
      <c r="W170" s="188" t="str">
        <f>IF(OR(I170="",R170=""),"未入力あり","✔")</f>
        <v>✔</v>
      </c>
      <c r="Y170" s="155"/>
      <c r="Z170" s="233">
        <v>0</v>
      </c>
      <c r="AA170" s="233">
        <v>10</v>
      </c>
      <c r="AB170" s="233">
        <v>0</v>
      </c>
      <c r="AC170" s="233">
        <v>10</v>
      </c>
      <c r="AD170" s="181"/>
    </row>
    <row r="171" spans="1:30" ht="20.100000000000001" customHeight="1" thickBot="1">
      <c r="A171" s="205"/>
      <c r="B171" s="206"/>
      <c r="C171" s="258" t="s">
        <v>401</v>
      </c>
      <c r="D171" s="206"/>
      <c r="E171" s="206"/>
      <c r="F171" s="206"/>
      <c r="G171" s="208"/>
      <c r="H171" s="206"/>
      <c r="I171" s="327">
        <v>0</v>
      </c>
      <c r="J171" s="207" t="s">
        <v>262</v>
      </c>
      <c r="K171" s="207"/>
      <c r="L171" s="207"/>
      <c r="M171" s="207"/>
      <c r="N171" s="207"/>
      <c r="O171" s="207"/>
      <c r="P171" s="207"/>
      <c r="Q171" s="207"/>
      <c r="R171" s="327">
        <v>2</v>
      </c>
      <c r="S171" s="207" t="s">
        <v>262</v>
      </c>
      <c r="T171" s="207"/>
      <c r="U171" s="220"/>
      <c r="V171" s="42">
        <f t="shared" si="11"/>
        <v>171</v>
      </c>
      <c r="W171" s="188" t="str">
        <f>IF(OR(I171="",R171=""),"未入力あり","✔")</f>
        <v>✔</v>
      </c>
      <c r="Y171" s="155"/>
      <c r="Z171" s="233">
        <v>0</v>
      </c>
      <c r="AA171" s="233">
        <v>10</v>
      </c>
      <c r="AB171" s="233">
        <v>0</v>
      </c>
      <c r="AC171" s="233">
        <v>10</v>
      </c>
      <c r="AD171" s="181"/>
    </row>
    <row r="172" spans="1:30" ht="20.100000000000001" customHeight="1" thickBot="1">
      <c r="A172" s="205"/>
      <c r="B172" s="206"/>
      <c r="C172" s="258" t="s">
        <v>402</v>
      </c>
      <c r="D172" s="206"/>
      <c r="E172" s="206"/>
      <c r="F172" s="206"/>
      <c r="G172" s="208"/>
      <c r="H172" s="206"/>
      <c r="I172" s="327">
        <v>0</v>
      </c>
      <c r="J172" s="207" t="s">
        <v>262</v>
      </c>
      <c r="K172" s="207"/>
      <c r="L172" s="207"/>
      <c r="M172" s="207"/>
      <c r="N172" s="207"/>
      <c r="O172" s="207"/>
      <c r="P172" s="207"/>
      <c r="Q172" s="207"/>
      <c r="R172" s="327">
        <v>3</v>
      </c>
      <c r="S172" s="207" t="s">
        <v>262</v>
      </c>
      <c r="T172" s="207"/>
      <c r="U172" s="220"/>
      <c r="V172" s="42">
        <f t="shared" si="11"/>
        <v>172</v>
      </c>
      <c r="W172" s="188" t="str">
        <f>IF(OR(I172="",R172=""),"未入力あり","✔")</f>
        <v>✔</v>
      </c>
      <c r="Y172" s="155"/>
      <c r="Z172" s="233">
        <v>0</v>
      </c>
      <c r="AA172" s="233">
        <v>10</v>
      </c>
      <c r="AB172" s="233">
        <v>0</v>
      </c>
      <c r="AC172" s="233">
        <v>10</v>
      </c>
      <c r="AD172" s="181"/>
    </row>
    <row r="173" spans="1:30" ht="20.100000000000001" customHeight="1" thickBot="1">
      <c r="A173" s="205"/>
      <c r="B173" s="206"/>
      <c r="C173" s="258" t="s">
        <v>403</v>
      </c>
      <c r="D173" s="206"/>
      <c r="E173" s="206"/>
      <c r="F173" s="206"/>
      <c r="G173" s="208"/>
      <c r="H173" s="206"/>
      <c r="I173" s="327">
        <v>0</v>
      </c>
      <c r="J173" s="207" t="s">
        <v>262</v>
      </c>
      <c r="K173" s="207"/>
      <c r="L173" s="207"/>
      <c r="M173" s="207"/>
      <c r="N173" s="207"/>
      <c r="O173" s="207"/>
      <c r="P173" s="207"/>
      <c r="Q173" s="207"/>
      <c r="R173" s="327">
        <v>0</v>
      </c>
      <c r="S173" s="207" t="s">
        <v>262</v>
      </c>
      <c r="T173" s="207"/>
      <c r="U173" s="220"/>
      <c r="V173" s="42">
        <f t="shared" si="11"/>
        <v>173</v>
      </c>
      <c r="W173" s="188" t="str">
        <f t="shared" ref="W173" si="16">IF(OR(I173="",R173=""),"未入力あり","✔")</f>
        <v>✔</v>
      </c>
      <c r="Y173" s="155"/>
      <c r="Z173" s="233">
        <v>0</v>
      </c>
      <c r="AA173" s="233">
        <v>10</v>
      </c>
      <c r="AB173" s="233">
        <v>0</v>
      </c>
      <c r="AC173" s="233">
        <v>10</v>
      </c>
      <c r="AD173" s="181"/>
    </row>
    <row r="174" spans="1:30" ht="20.100000000000001" customHeight="1" thickBot="1">
      <c r="A174" s="205"/>
      <c r="B174" s="206"/>
      <c r="C174" s="258" t="s">
        <v>404</v>
      </c>
      <c r="D174" s="206"/>
      <c r="E174" s="206"/>
      <c r="F174" s="206"/>
      <c r="G174" s="208"/>
      <c r="H174" s="206"/>
      <c r="I174" s="327">
        <v>0</v>
      </c>
      <c r="J174" s="207" t="s">
        <v>262</v>
      </c>
      <c r="K174" s="207"/>
      <c r="L174" s="207"/>
      <c r="M174" s="207"/>
      <c r="N174" s="207"/>
      <c r="O174" s="207"/>
      <c r="P174" s="207"/>
      <c r="Q174" s="207"/>
      <c r="R174" s="327">
        <v>0</v>
      </c>
      <c r="S174" s="207" t="s">
        <v>262</v>
      </c>
      <c r="T174" s="207"/>
      <c r="U174" s="220"/>
      <c r="V174" s="42">
        <f t="shared" si="11"/>
        <v>174</v>
      </c>
      <c r="W174" s="188" t="str">
        <f t="shared" ref="W174:W175" si="17">IF(OR(I174="",R174=""),"未入力あり","✔")</f>
        <v>✔</v>
      </c>
      <c r="Y174" s="155"/>
      <c r="Z174" s="233">
        <v>0</v>
      </c>
      <c r="AA174" s="233">
        <v>10</v>
      </c>
      <c r="AB174" s="233">
        <v>0</v>
      </c>
      <c r="AC174" s="233">
        <v>10</v>
      </c>
      <c r="AD174" s="181"/>
    </row>
    <row r="175" spans="1:30" ht="20.100000000000001" customHeight="1" thickBot="1">
      <c r="A175" s="205"/>
      <c r="B175" s="206"/>
      <c r="C175" s="258" t="s">
        <v>405</v>
      </c>
      <c r="D175" s="206"/>
      <c r="E175" s="206"/>
      <c r="F175" s="206"/>
      <c r="G175" s="208"/>
      <c r="H175" s="206"/>
      <c r="I175" s="327">
        <v>0</v>
      </c>
      <c r="J175" s="207" t="s">
        <v>262</v>
      </c>
      <c r="K175" s="207"/>
      <c r="L175" s="207"/>
      <c r="M175" s="207"/>
      <c r="N175" s="207"/>
      <c r="O175" s="207"/>
      <c r="P175" s="207"/>
      <c r="Q175" s="207"/>
      <c r="R175" s="327">
        <v>1</v>
      </c>
      <c r="S175" s="207" t="s">
        <v>262</v>
      </c>
      <c r="T175" s="207"/>
      <c r="U175" s="220"/>
      <c r="V175" s="42">
        <f t="shared" si="11"/>
        <v>175</v>
      </c>
      <c r="W175" s="188" t="str">
        <f t="shared" si="17"/>
        <v>✔</v>
      </c>
      <c r="Y175" s="155"/>
      <c r="Z175" s="233">
        <v>0</v>
      </c>
      <c r="AA175" s="233">
        <v>10</v>
      </c>
      <c r="AB175" s="233">
        <v>0</v>
      </c>
      <c r="AC175" s="233">
        <v>10</v>
      </c>
      <c r="AD175" s="181"/>
    </row>
    <row r="176" spans="1:30" ht="20.100000000000001" customHeight="1" thickBot="1">
      <c r="A176" s="205"/>
      <c r="B176" s="206"/>
      <c r="C176" s="258" t="s">
        <v>406</v>
      </c>
      <c r="D176" s="206"/>
      <c r="E176" s="206"/>
      <c r="F176" s="206"/>
      <c r="G176" s="208"/>
      <c r="H176" s="206"/>
      <c r="I176" s="327">
        <v>0</v>
      </c>
      <c r="J176" s="207" t="s">
        <v>262</v>
      </c>
      <c r="K176" s="207"/>
      <c r="L176" s="207"/>
      <c r="M176" s="207"/>
      <c r="N176" s="207"/>
      <c r="O176" s="207"/>
      <c r="P176" s="207"/>
      <c r="Q176" s="207"/>
      <c r="R176" s="327">
        <v>0</v>
      </c>
      <c r="S176" s="207" t="s">
        <v>262</v>
      </c>
      <c r="T176" s="207"/>
      <c r="U176" s="220"/>
      <c r="V176" s="42">
        <f t="shared" si="11"/>
        <v>176</v>
      </c>
      <c r="W176" s="188" t="str">
        <f>IF(OR(I176="",R176=""),"未入力あり","✔")</f>
        <v>✔</v>
      </c>
      <c r="Y176" s="155"/>
      <c r="Z176" s="233">
        <v>0</v>
      </c>
      <c r="AA176" s="233">
        <v>10</v>
      </c>
      <c r="AB176" s="233">
        <v>0</v>
      </c>
      <c r="AC176" s="233">
        <v>10</v>
      </c>
      <c r="AD176" s="181"/>
    </row>
    <row r="177" spans="1:30" ht="20.100000000000001" customHeight="1">
      <c r="A177" s="205"/>
      <c r="B177" s="206"/>
      <c r="C177" s="206"/>
      <c r="D177" s="206"/>
      <c r="E177" s="206"/>
      <c r="F177" s="206"/>
      <c r="G177" s="208"/>
      <c r="H177" s="206"/>
      <c r="I177" s="257"/>
      <c r="J177" s="207"/>
      <c r="K177" s="207"/>
      <c r="L177" s="207"/>
      <c r="M177" s="207"/>
      <c r="N177" s="207"/>
      <c r="O177" s="207"/>
      <c r="P177" s="207"/>
      <c r="Q177" s="207"/>
      <c r="R177" s="257"/>
      <c r="S177" s="207"/>
      <c r="T177" s="207"/>
      <c r="U177" s="220"/>
      <c r="V177" s="42">
        <f t="shared" si="11"/>
        <v>177</v>
      </c>
      <c r="Y177" s="155"/>
      <c r="Z177" s="181"/>
      <c r="AA177" s="181"/>
      <c r="AB177" s="181"/>
      <c r="AC177" s="181"/>
      <c r="AD177" s="181"/>
    </row>
    <row r="178" spans="1:30" ht="20.100000000000001" customHeight="1">
      <c r="A178" s="205"/>
      <c r="B178" s="206" t="s">
        <v>407</v>
      </c>
      <c r="C178" s="206"/>
      <c r="D178" s="206"/>
      <c r="E178" s="206"/>
      <c r="F178" s="207"/>
      <c r="G178" s="208"/>
      <c r="H178" s="221"/>
      <c r="I178" s="226" t="s">
        <v>295</v>
      </c>
      <c r="J178" s="207"/>
      <c r="K178" s="207"/>
      <c r="L178" s="207"/>
      <c r="M178" s="207"/>
      <c r="N178" s="207"/>
      <c r="O178" s="207"/>
      <c r="P178" s="207"/>
      <c r="Q178" s="207"/>
      <c r="R178" s="226" t="s">
        <v>296</v>
      </c>
      <c r="S178" s="207"/>
      <c r="T178" s="207"/>
      <c r="U178" s="220"/>
      <c r="V178" s="42">
        <f t="shared" si="11"/>
        <v>178</v>
      </c>
      <c r="Y178" s="155"/>
      <c r="Z178" s="181"/>
      <c r="AA178" s="181"/>
      <c r="AB178" s="181"/>
      <c r="AC178" s="181"/>
      <c r="AD178" s="181"/>
    </row>
    <row r="179" spans="1:30" ht="20.100000000000001" customHeight="1" thickBot="1">
      <c r="A179" s="205"/>
      <c r="B179" s="206"/>
      <c r="C179" s="206"/>
      <c r="D179" s="206"/>
      <c r="E179" s="206"/>
      <c r="F179" s="207"/>
      <c r="G179" s="208"/>
      <c r="H179" s="221"/>
      <c r="I179" s="226" t="s">
        <v>298</v>
      </c>
      <c r="J179" s="207"/>
      <c r="K179" s="207"/>
      <c r="L179" s="207"/>
      <c r="M179" s="207"/>
      <c r="N179" s="207"/>
      <c r="O179" s="207"/>
      <c r="P179" s="207"/>
      <c r="Q179" s="207"/>
      <c r="S179" s="207"/>
      <c r="T179" s="207"/>
      <c r="U179" s="220"/>
      <c r="V179" s="42">
        <f t="shared" si="11"/>
        <v>179</v>
      </c>
      <c r="Y179" s="155"/>
      <c r="Z179" s="181"/>
      <c r="AA179" s="181"/>
      <c r="AB179" s="181"/>
      <c r="AC179" s="181"/>
      <c r="AD179" s="181"/>
    </row>
    <row r="180" spans="1:30" ht="19.5" customHeight="1" thickBot="1">
      <c r="A180" s="205"/>
      <c r="B180" s="206"/>
      <c r="C180" s="206" t="s">
        <v>408</v>
      </c>
      <c r="D180" s="206"/>
      <c r="E180" s="206"/>
      <c r="F180" s="206"/>
      <c r="G180" s="206"/>
      <c r="H180" s="259"/>
      <c r="I180" s="327">
        <v>0</v>
      </c>
      <c r="J180" s="207" t="s">
        <v>262</v>
      </c>
      <c r="K180" s="207"/>
      <c r="L180" s="207"/>
      <c r="M180" s="207"/>
      <c r="N180" s="207"/>
      <c r="O180" s="207"/>
      <c r="P180" s="207"/>
      <c r="Q180" s="207"/>
      <c r="R180" s="327">
        <v>2</v>
      </c>
      <c r="S180" s="207" t="s">
        <v>262</v>
      </c>
      <c r="T180" s="207"/>
      <c r="U180" s="220"/>
      <c r="V180" s="42">
        <f t="shared" si="11"/>
        <v>180</v>
      </c>
      <c r="W180" s="188" t="str">
        <f t="shared" ref="W180:W192" si="18">IF(OR(I180="",R180=""),"未入力あり","✔")</f>
        <v>✔</v>
      </c>
      <c r="Y180" s="155"/>
      <c r="Z180" s="233">
        <v>0</v>
      </c>
      <c r="AA180" s="233">
        <v>10</v>
      </c>
      <c r="AB180" s="233">
        <v>0</v>
      </c>
      <c r="AC180" s="233">
        <v>10</v>
      </c>
      <c r="AD180" s="181"/>
    </row>
    <row r="181" spans="1:30" ht="19.5" customHeight="1" thickBot="1">
      <c r="A181" s="205"/>
      <c r="B181" s="206"/>
      <c r="C181" s="206" t="s">
        <v>409</v>
      </c>
      <c r="D181" s="206"/>
      <c r="E181" s="206"/>
      <c r="F181" s="207"/>
      <c r="G181" s="208"/>
      <c r="H181" s="236"/>
      <c r="I181" s="327">
        <v>0</v>
      </c>
      <c r="J181" s="207" t="s">
        <v>262</v>
      </c>
      <c r="K181" s="207"/>
      <c r="L181" s="207"/>
      <c r="M181" s="207"/>
      <c r="N181" s="207"/>
      <c r="O181" s="207"/>
      <c r="P181" s="207"/>
      <c r="Q181" s="207"/>
      <c r="R181" s="327">
        <v>2</v>
      </c>
      <c r="S181" s="207" t="s">
        <v>262</v>
      </c>
      <c r="T181" s="207"/>
      <c r="U181" s="220"/>
      <c r="V181" s="42">
        <f t="shared" si="11"/>
        <v>181</v>
      </c>
      <c r="W181" s="188" t="str">
        <f t="shared" si="18"/>
        <v>✔</v>
      </c>
      <c r="Y181" s="155"/>
      <c r="Z181" s="233">
        <v>0</v>
      </c>
      <c r="AA181" s="233">
        <v>10</v>
      </c>
      <c r="AB181" s="233">
        <v>0</v>
      </c>
      <c r="AC181" s="233">
        <v>10</v>
      </c>
      <c r="AD181" s="181"/>
    </row>
    <row r="182" spans="1:30" ht="19.5" customHeight="1" thickBot="1">
      <c r="A182" s="205"/>
      <c r="B182" s="206"/>
      <c r="C182" s="206" t="s">
        <v>410</v>
      </c>
      <c r="D182" s="206"/>
      <c r="E182" s="206"/>
      <c r="F182" s="207"/>
      <c r="G182" s="208"/>
      <c r="H182" s="260"/>
      <c r="I182" s="327">
        <v>0</v>
      </c>
      <c r="J182" s="207" t="s">
        <v>262</v>
      </c>
      <c r="K182" s="207"/>
      <c r="L182" s="207"/>
      <c r="M182" s="207"/>
      <c r="N182" s="207"/>
      <c r="O182" s="207"/>
      <c r="P182" s="207"/>
      <c r="Q182" s="207"/>
      <c r="R182" s="327">
        <v>1</v>
      </c>
      <c r="S182" s="207" t="s">
        <v>262</v>
      </c>
      <c r="T182" s="207"/>
      <c r="U182" s="220"/>
      <c r="V182" s="42">
        <f t="shared" si="11"/>
        <v>182</v>
      </c>
      <c r="W182" s="188" t="str">
        <f t="shared" si="18"/>
        <v>✔</v>
      </c>
      <c r="Y182" s="155"/>
      <c r="Z182" s="233">
        <v>0</v>
      </c>
      <c r="AA182" s="233">
        <v>10</v>
      </c>
      <c r="AB182" s="233">
        <v>0</v>
      </c>
      <c r="AC182" s="233">
        <v>10</v>
      </c>
      <c r="AD182" s="181"/>
    </row>
    <row r="183" spans="1:30" ht="19.5" customHeight="1" thickBot="1">
      <c r="A183" s="205"/>
      <c r="B183" s="206"/>
      <c r="C183" s="206" t="s">
        <v>411</v>
      </c>
      <c r="D183" s="208"/>
      <c r="E183" s="208"/>
      <c r="F183" s="208"/>
      <c r="G183" s="208"/>
      <c r="H183" s="261"/>
      <c r="I183" s="327">
        <v>0</v>
      </c>
      <c r="J183" s="207" t="s">
        <v>262</v>
      </c>
      <c r="K183" s="207"/>
      <c r="L183" s="207"/>
      <c r="M183" s="207"/>
      <c r="N183" s="207"/>
      <c r="O183" s="207"/>
      <c r="P183" s="207"/>
      <c r="Q183" s="207"/>
      <c r="R183" s="327">
        <v>1</v>
      </c>
      <c r="S183" s="207" t="s">
        <v>262</v>
      </c>
      <c r="T183" s="207"/>
      <c r="U183" s="220"/>
      <c r="V183" s="42">
        <f t="shared" si="11"/>
        <v>183</v>
      </c>
      <c r="W183" s="188" t="str">
        <f t="shared" si="18"/>
        <v>✔</v>
      </c>
      <c r="Y183" s="155"/>
      <c r="Z183" s="233">
        <v>0</v>
      </c>
      <c r="AA183" s="233">
        <v>10</v>
      </c>
      <c r="AB183" s="233">
        <v>0</v>
      </c>
      <c r="AC183" s="233">
        <v>10</v>
      </c>
      <c r="AD183" s="181"/>
    </row>
    <row r="184" spans="1:30" ht="39" customHeight="1" thickBot="1">
      <c r="A184" s="205"/>
      <c r="B184" s="206"/>
      <c r="C184" s="1294" t="s">
        <v>412</v>
      </c>
      <c r="D184" s="1294"/>
      <c r="E184" s="1294"/>
      <c r="F184" s="1294"/>
      <c r="G184" s="1294"/>
      <c r="H184" s="1295"/>
      <c r="I184" s="327">
        <v>0</v>
      </c>
      <c r="J184" s="207" t="s">
        <v>262</v>
      </c>
      <c r="K184" s="207"/>
      <c r="L184" s="207"/>
      <c r="M184" s="207"/>
      <c r="N184" s="207"/>
      <c r="O184" s="207"/>
      <c r="P184" s="207"/>
      <c r="Q184" s="207"/>
      <c r="R184" s="327">
        <v>5</v>
      </c>
      <c r="S184" s="207" t="s">
        <v>262</v>
      </c>
      <c r="T184" s="207"/>
      <c r="U184" s="220"/>
      <c r="V184" s="42">
        <f t="shared" si="11"/>
        <v>184</v>
      </c>
      <c r="W184" s="188" t="str">
        <f t="shared" si="18"/>
        <v>✔</v>
      </c>
      <c r="Y184" s="155"/>
      <c r="Z184" s="233">
        <v>0</v>
      </c>
      <c r="AA184" s="233">
        <v>10</v>
      </c>
      <c r="AB184" s="233">
        <v>0</v>
      </c>
      <c r="AC184" s="245">
        <v>20</v>
      </c>
      <c r="AD184" s="181"/>
    </row>
    <row r="185" spans="1:30" ht="19.5" customHeight="1" thickBot="1">
      <c r="A185" s="205"/>
      <c r="B185" s="206"/>
      <c r="C185" s="206" t="s">
        <v>413</v>
      </c>
      <c r="D185" s="208"/>
      <c r="E185" s="208"/>
      <c r="F185" s="208"/>
      <c r="G185" s="208"/>
      <c r="H185" s="261"/>
      <c r="I185" s="327">
        <v>0</v>
      </c>
      <c r="J185" s="207" t="s">
        <v>262</v>
      </c>
      <c r="K185" s="207"/>
      <c r="L185" s="207"/>
      <c r="M185" s="207"/>
      <c r="N185" s="207"/>
      <c r="O185" s="207"/>
      <c r="P185" s="207"/>
      <c r="Q185" s="207"/>
      <c r="R185" s="327">
        <v>3</v>
      </c>
      <c r="S185" s="207" t="s">
        <v>262</v>
      </c>
      <c r="T185" s="207"/>
      <c r="U185" s="220"/>
      <c r="V185" s="42">
        <f t="shared" si="11"/>
        <v>185</v>
      </c>
      <c r="W185" s="188" t="str">
        <f t="shared" si="18"/>
        <v>✔</v>
      </c>
      <c r="Y185" s="155"/>
      <c r="Z185" s="233">
        <v>0</v>
      </c>
      <c r="AA185" s="233">
        <v>10</v>
      </c>
      <c r="AB185" s="233">
        <v>0</v>
      </c>
      <c r="AC185" s="233">
        <v>10</v>
      </c>
      <c r="AD185" s="181"/>
    </row>
    <row r="186" spans="1:30" ht="19.5" customHeight="1" thickBot="1">
      <c r="A186" s="205"/>
      <c r="B186" s="206"/>
      <c r="C186" s="206" t="s">
        <v>414</v>
      </c>
      <c r="D186" s="208"/>
      <c r="E186" s="208"/>
      <c r="F186" s="208"/>
      <c r="G186" s="208"/>
      <c r="H186" s="261"/>
      <c r="I186" s="327">
        <v>0</v>
      </c>
      <c r="J186" s="207" t="s">
        <v>262</v>
      </c>
      <c r="K186" s="207"/>
      <c r="L186" s="207"/>
      <c r="M186" s="207"/>
      <c r="N186" s="207"/>
      <c r="O186" s="207"/>
      <c r="P186" s="207"/>
      <c r="Q186" s="207"/>
      <c r="R186" s="327">
        <v>3</v>
      </c>
      <c r="S186" s="207" t="s">
        <v>262</v>
      </c>
      <c r="T186" s="207"/>
      <c r="U186" s="220"/>
      <c r="V186" s="42">
        <f t="shared" si="11"/>
        <v>186</v>
      </c>
      <c r="W186" s="188" t="str">
        <f t="shared" si="18"/>
        <v>✔</v>
      </c>
      <c r="Y186" s="155"/>
      <c r="Z186" s="233">
        <v>0</v>
      </c>
      <c r="AA186" s="233">
        <v>10</v>
      </c>
      <c r="AB186" s="233">
        <v>0</v>
      </c>
      <c r="AC186" s="233">
        <v>10</v>
      </c>
      <c r="AD186" s="181"/>
    </row>
    <row r="187" spans="1:30" ht="19.5" customHeight="1" thickBot="1">
      <c r="A187" s="205"/>
      <c r="B187" s="206"/>
      <c r="C187" s="206" t="s">
        <v>415</v>
      </c>
      <c r="D187" s="206"/>
      <c r="E187" s="206"/>
      <c r="F187" s="207"/>
      <c r="G187" s="208"/>
      <c r="H187" s="236"/>
      <c r="I187" s="327">
        <v>0</v>
      </c>
      <c r="J187" s="207" t="s">
        <v>262</v>
      </c>
      <c r="K187" s="207"/>
      <c r="L187" s="207"/>
      <c r="M187" s="207"/>
      <c r="N187" s="207"/>
      <c r="O187" s="207"/>
      <c r="P187" s="207"/>
      <c r="Q187" s="207"/>
      <c r="R187" s="327">
        <v>0</v>
      </c>
      <c r="S187" s="207" t="s">
        <v>262</v>
      </c>
      <c r="T187" s="207"/>
      <c r="U187" s="220"/>
      <c r="V187" s="42">
        <f t="shared" si="11"/>
        <v>187</v>
      </c>
      <c r="W187" s="188" t="str">
        <f t="shared" si="18"/>
        <v>✔</v>
      </c>
      <c r="Y187" s="155"/>
      <c r="Z187" s="233">
        <v>0</v>
      </c>
      <c r="AA187" s="233">
        <v>10</v>
      </c>
      <c r="AB187" s="233">
        <v>0</v>
      </c>
      <c r="AC187" s="233">
        <v>10</v>
      </c>
      <c r="AD187" s="181"/>
    </row>
    <row r="188" spans="1:30" ht="19.5" customHeight="1" thickBot="1">
      <c r="A188" s="205"/>
      <c r="B188" s="206"/>
      <c r="C188" s="206" t="s">
        <v>416</v>
      </c>
      <c r="D188" s="206"/>
      <c r="E188" s="206"/>
      <c r="F188" s="207"/>
      <c r="G188" s="208"/>
      <c r="H188" s="236"/>
      <c r="I188" s="327">
        <v>0</v>
      </c>
      <c r="J188" s="207" t="s">
        <v>262</v>
      </c>
      <c r="K188" s="207"/>
      <c r="L188" s="207"/>
      <c r="M188" s="207"/>
      <c r="N188" s="207"/>
      <c r="O188" s="207"/>
      <c r="P188" s="207"/>
      <c r="Q188" s="207"/>
      <c r="R188" s="327">
        <v>6</v>
      </c>
      <c r="S188" s="207" t="s">
        <v>262</v>
      </c>
      <c r="T188" s="207"/>
      <c r="U188" s="220"/>
      <c r="V188" s="42">
        <f t="shared" si="11"/>
        <v>188</v>
      </c>
      <c r="W188" s="188" t="str">
        <f t="shared" si="18"/>
        <v>✔</v>
      </c>
      <c r="Y188" s="155"/>
      <c r="Z188" s="233">
        <v>0</v>
      </c>
      <c r="AA188" s="233">
        <v>10</v>
      </c>
      <c r="AB188" s="233">
        <v>0</v>
      </c>
      <c r="AC188" s="245">
        <v>20</v>
      </c>
      <c r="AD188" s="181"/>
    </row>
    <row r="189" spans="1:30" ht="19.5" customHeight="1" thickBot="1">
      <c r="A189" s="205"/>
      <c r="B189" s="206"/>
      <c r="C189" s="262" t="s">
        <v>417</v>
      </c>
      <c r="D189" s="206"/>
      <c r="E189" s="206"/>
      <c r="F189" s="207"/>
      <c r="G189" s="208"/>
      <c r="H189" s="236"/>
      <c r="I189" s="327">
        <v>0</v>
      </c>
      <c r="J189" s="207" t="s">
        <v>262</v>
      </c>
      <c r="K189" s="207"/>
      <c r="L189" s="207"/>
      <c r="M189" s="207"/>
      <c r="N189" s="207"/>
      <c r="O189" s="207"/>
      <c r="P189" s="207"/>
      <c r="Q189" s="207"/>
      <c r="R189" s="327">
        <v>0</v>
      </c>
      <c r="S189" s="207" t="s">
        <v>262</v>
      </c>
      <c r="T189" s="207"/>
      <c r="U189" s="220"/>
      <c r="V189" s="42">
        <f t="shared" si="11"/>
        <v>189</v>
      </c>
      <c r="W189" s="188" t="str">
        <f t="shared" si="18"/>
        <v>✔</v>
      </c>
      <c r="Y189" s="155"/>
      <c r="Z189" s="233">
        <v>0</v>
      </c>
      <c r="AA189" s="233">
        <v>10</v>
      </c>
      <c r="AB189" s="233">
        <v>0</v>
      </c>
      <c r="AC189" s="233">
        <v>10</v>
      </c>
      <c r="AD189" s="181"/>
    </row>
    <row r="190" spans="1:30" ht="19.5" customHeight="1" thickBot="1">
      <c r="A190" s="205"/>
      <c r="B190" s="206"/>
      <c r="C190" s="206" t="s">
        <v>418</v>
      </c>
      <c r="D190" s="206"/>
      <c r="E190" s="206"/>
      <c r="F190" s="207"/>
      <c r="G190" s="208"/>
      <c r="H190" s="236"/>
      <c r="I190" s="327">
        <v>0</v>
      </c>
      <c r="J190" s="207" t="s">
        <v>262</v>
      </c>
      <c r="K190" s="207"/>
      <c r="L190" s="207"/>
      <c r="M190" s="207"/>
      <c r="N190" s="207"/>
      <c r="O190" s="207"/>
      <c r="P190" s="207"/>
      <c r="Q190" s="207"/>
      <c r="R190" s="327">
        <v>0</v>
      </c>
      <c r="S190" s="207" t="s">
        <v>262</v>
      </c>
      <c r="T190" s="207"/>
      <c r="U190" s="220"/>
      <c r="V190" s="42">
        <f t="shared" si="11"/>
        <v>190</v>
      </c>
      <c r="W190" s="188" t="str">
        <f t="shared" si="18"/>
        <v>✔</v>
      </c>
      <c r="Y190" s="155"/>
      <c r="Z190" s="233">
        <v>0</v>
      </c>
      <c r="AA190" s="233">
        <v>10</v>
      </c>
      <c r="AB190" s="233">
        <v>0</v>
      </c>
      <c r="AC190" s="233">
        <v>10</v>
      </c>
      <c r="AD190" s="181"/>
    </row>
    <row r="191" spans="1:30" ht="39" customHeight="1" thickBot="1">
      <c r="A191" s="205"/>
      <c r="B191" s="206"/>
      <c r="C191" s="1294" t="s">
        <v>419</v>
      </c>
      <c r="D191" s="1294"/>
      <c r="E191" s="1294"/>
      <c r="F191" s="1294"/>
      <c r="G191" s="1294"/>
      <c r="H191" s="1295"/>
      <c r="I191" s="327">
        <v>0</v>
      </c>
      <c r="J191" s="207" t="s">
        <v>262</v>
      </c>
      <c r="K191" s="207"/>
      <c r="L191" s="207"/>
      <c r="M191" s="207"/>
      <c r="N191" s="207"/>
      <c r="O191" s="207"/>
      <c r="P191" s="207"/>
      <c r="Q191" s="207"/>
      <c r="R191" s="327">
        <v>1</v>
      </c>
      <c r="S191" s="207" t="s">
        <v>262</v>
      </c>
      <c r="T191" s="207"/>
      <c r="U191" s="220"/>
      <c r="V191" s="42">
        <f t="shared" si="11"/>
        <v>191</v>
      </c>
      <c r="W191" s="188" t="str">
        <f t="shared" si="18"/>
        <v>✔</v>
      </c>
      <c r="Y191" s="155"/>
      <c r="Z191" s="233">
        <v>0</v>
      </c>
      <c r="AA191" s="233">
        <v>10</v>
      </c>
      <c r="AB191" s="233">
        <v>0</v>
      </c>
      <c r="AC191" s="233">
        <v>10</v>
      </c>
      <c r="AD191" s="181"/>
    </row>
    <row r="192" spans="1:30" ht="19.5" customHeight="1" thickBot="1">
      <c r="A192" s="205"/>
      <c r="B192" s="206"/>
      <c r="C192" s="206" t="s">
        <v>420</v>
      </c>
      <c r="D192" s="206"/>
      <c r="E192" s="206"/>
      <c r="F192" s="207"/>
      <c r="G192" s="208"/>
      <c r="H192" s="236"/>
      <c r="I192" s="327">
        <v>0</v>
      </c>
      <c r="J192" s="207" t="s">
        <v>262</v>
      </c>
      <c r="K192" s="207"/>
      <c r="L192" s="207"/>
      <c r="M192" s="207"/>
      <c r="N192" s="207"/>
      <c r="O192" s="207"/>
      <c r="P192" s="207"/>
      <c r="Q192" s="207"/>
      <c r="R192" s="327">
        <v>1</v>
      </c>
      <c r="S192" s="207" t="s">
        <v>262</v>
      </c>
      <c r="T192" s="207"/>
      <c r="U192" s="220"/>
      <c r="V192" s="42">
        <f t="shared" si="11"/>
        <v>192</v>
      </c>
      <c r="W192" s="188" t="str">
        <f t="shared" si="18"/>
        <v>✔</v>
      </c>
      <c r="Y192" s="155"/>
      <c r="Z192" s="233">
        <v>0</v>
      </c>
      <c r="AA192" s="233">
        <v>10</v>
      </c>
      <c r="AB192" s="233">
        <v>0</v>
      </c>
      <c r="AC192" s="245">
        <v>30</v>
      </c>
      <c r="AD192" s="181"/>
    </row>
    <row r="193" spans="1:30" ht="19.5" customHeight="1" thickBot="1">
      <c r="A193" s="205"/>
      <c r="B193" s="206"/>
      <c r="C193" s="198" t="s">
        <v>421</v>
      </c>
      <c r="D193" s="198"/>
      <c r="E193" s="198"/>
      <c r="F193" s="199"/>
      <c r="G193" s="200"/>
      <c r="H193" s="263"/>
      <c r="I193" s="327">
        <v>0</v>
      </c>
      <c r="J193" s="207" t="s">
        <v>262</v>
      </c>
      <c r="K193" s="207"/>
      <c r="L193" s="207"/>
      <c r="M193" s="207"/>
      <c r="N193" s="207"/>
      <c r="O193" s="207"/>
      <c r="P193" s="207"/>
      <c r="Q193" s="207"/>
      <c r="R193" s="327">
        <v>0</v>
      </c>
      <c r="S193" s="207" t="s">
        <v>262</v>
      </c>
      <c r="T193" s="207"/>
      <c r="U193" s="220"/>
      <c r="V193" s="42">
        <f t="shared" si="11"/>
        <v>193</v>
      </c>
      <c r="W193" s="188" t="str">
        <f t="shared" ref="W193" si="19">IF(OR(I193="",R193=""),"未入力あり","✔")</f>
        <v>✔</v>
      </c>
      <c r="Y193" s="155"/>
      <c r="Z193" s="233">
        <v>0</v>
      </c>
      <c r="AA193" s="233">
        <v>10</v>
      </c>
      <c r="AB193" s="233">
        <v>0</v>
      </c>
      <c r="AC193" s="233">
        <v>10</v>
      </c>
      <c r="AD193" s="181"/>
    </row>
    <row r="194" spans="1:30" ht="20.100000000000001" customHeight="1">
      <c r="A194" s="205"/>
      <c r="B194" s="206"/>
      <c r="C194" s="198"/>
      <c r="D194" s="198"/>
      <c r="E194" s="198"/>
      <c r="F194" s="199"/>
      <c r="G194" s="200"/>
      <c r="H194" s="263"/>
      <c r="I194" s="257"/>
      <c r="J194" s="207"/>
      <c r="K194" s="207"/>
      <c r="L194" s="207"/>
      <c r="M194" s="207"/>
      <c r="N194" s="207"/>
      <c r="O194" s="207"/>
      <c r="P194" s="207"/>
      <c r="Q194" s="207"/>
      <c r="R194" s="257"/>
      <c r="S194" s="207"/>
      <c r="T194" s="207"/>
      <c r="U194" s="220"/>
      <c r="V194" s="42">
        <f t="shared" si="11"/>
        <v>194</v>
      </c>
      <c r="Y194" s="155"/>
      <c r="Z194" s="181"/>
      <c r="AA194" s="181"/>
      <c r="AB194" s="181"/>
      <c r="AC194" s="181"/>
      <c r="AD194" s="181"/>
    </row>
    <row r="195" spans="1:30" ht="20.100000000000001" customHeight="1" thickBot="1">
      <c r="A195" s="205"/>
      <c r="B195" s="206" t="s">
        <v>422</v>
      </c>
      <c r="C195" s="206"/>
      <c r="D195" s="206"/>
      <c r="E195" s="206"/>
      <c r="F195" s="207"/>
      <c r="G195" s="208"/>
      <c r="H195" s="221"/>
      <c r="I195" s="264"/>
      <c r="J195" s="207"/>
      <c r="K195" s="207"/>
      <c r="L195" s="207"/>
      <c r="M195" s="207"/>
      <c r="N195" s="207"/>
      <c r="O195" s="207"/>
      <c r="P195" s="207"/>
      <c r="Q195" s="207"/>
      <c r="R195" s="264"/>
      <c r="S195" s="207"/>
      <c r="T195" s="207"/>
      <c r="U195" s="220"/>
      <c r="V195" s="42">
        <f t="shared" si="11"/>
        <v>195</v>
      </c>
      <c r="Y195" s="155"/>
      <c r="Z195" s="181"/>
      <c r="AA195" s="181"/>
      <c r="AB195" s="181"/>
      <c r="AC195" s="181"/>
      <c r="AD195" s="181"/>
    </row>
    <row r="196" spans="1:30" ht="19.5" customHeight="1" thickBot="1">
      <c r="A196" s="205"/>
      <c r="B196" s="206"/>
      <c r="C196" s="206" t="s">
        <v>423</v>
      </c>
      <c r="D196" s="206"/>
      <c r="E196" s="206"/>
      <c r="F196" s="207"/>
      <c r="G196" s="208"/>
      <c r="H196" s="221"/>
      <c r="I196" s="327">
        <v>0</v>
      </c>
      <c r="J196" s="207" t="s">
        <v>262</v>
      </c>
      <c r="K196" s="207"/>
      <c r="L196" s="207"/>
      <c r="M196" s="207"/>
      <c r="N196" s="207"/>
      <c r="O196" s="207"/>
      <c r="P196" s="207"/>
      <c r="Q196" s="207"/>
      <c r="R196" s="327">
        <v>5</v>
      </c>
      <c r="S196" s="207" t="s">
        <v>262</v>
      </c>
      <c r="T196" s="207"/>
      <c r="U196" s="220"/>
      <c r="V196" s="42">
        <f t="shared" si="11"/>
        <v>196</v>
      </c>
      <c r="W196" s="188" t="str">
        <f>IF(OR(I196="",R196=""),"未入力あり","✔")</f>
        <v>✔</v>
      </c>
      <c r="Y196" s="155"/>
      <c r="Z196" s="233">
        <v>0</v>
      </c>
      <c r="AA196" s="245">
        <v>10</v>
      </c>
      <c r="AB196" s="233">
        <v>0</v>
      </c>
      <c r="AC196" s="245">
        <v>20</v>
      </c>
      <c r="AD196" s="181"/>
    </row>
    <row r="197" spans="1:30" ht="20.100000000000001" customHeight="1" thickBot="1">
      <c r="A197" s="205"/>
      <c r="B197" s="206"/>
      <c r="C197" s="206" t="s">
        <v>424</v>
      </c>
      <c r="D197" s="206"/>
      <c r="E197" s="206"/>
      <c r="F197" s="207"/>
      <c r="G197" s="208"/>
      <c r="H197" s="265"/>
      <c r="I197" s="327">
        <v>0</v>
      </c>
      <c r="J197" s="207" t="s">
        <v>262</v>
      </c>
      <c r="K197" s="207"/>
      <c r="L197" s="207"/>
      <c r="M197" s="207"/>
      <c r="N197" s="207"/>
      <c r="O197" s="207"/>
      <c r="P197" s="207"/>
      <c r="Q197" s="207"/>
      <c r="R197" s="327">
        <v>1</v>
      </c>
      <c r="S197" s="207" t="s">
        <v>262</v>
      </c>
      <c r="T197" s="207"/>
      <c r="U197" s="220"/>
      <c r="V197" s="42">
        <f t="shared" si="11"/>
        <v>197</v>
      </c>
      <c r="W197" s="188" t="str">
        <f>IF(OR(I197="",R197=""),"未入力あり","✔")</f>
        <v>✔</v>
      </c>
      <c r="Y197" s="155"/>
      <c r="Z197" s="233">
        <v>0</v>
      </c>
      <c r="AA197" s="233">
        <v>10</v>
      </c>
      <c r="AB197" s="233">
        <v>0</v>
      </c>
      <c r="AC197" s="233">
        <v>10</v>
      </c>
      <c r="AD197" s="181"/>
    </row>
    <row r="198" spans="1:30" ht="20.100000000000001" customHeight="1" thickBot="1">
      <c r="A198" s="205"/>
      <c r="B198" s="206"/>
      <c r="C198" s="243" t="s">
        <v>425</v>
      </c>
      <c r="D198" s="206"/>
      <c r="E198" s="206"/>
      <c r="F198" s="207"/>
      <c r="G198" s="208"/>
      <c r="H198" s="265"/>
      <c r="I198" s="327">
        <v>0</v>
      </c>
      <c r="J198" s="207" t="s">
        <v>262</v>
      </c>
      <c r="K198" s="207"/>
      <c r="L198" s="207"/>
      <c r="M198" s="207"/>
      <c r="N198" s="207"/>
      <c r="O198" s="207"/>
      <c r="P198" s="207"/>
      <c r="Q198" s="207"/>
      <c r="R198" s="327">
        <v>1</v>
      </c>
      <c r="S198" s="207" t="s">
        <v>262</v>
      </c>
      <c r="T198" s="207"/>
      <c r="U198" s="220"/>
      <c r="V198" s="42">
        <f t="shared" si="11"/>
        <v>198</v>
      </c>
      <c r="W198" s="188" t="str">
        <f>IF(OR(I198="",R198=""),"未入力あり","✔")</f>
        <v>✔</v>
      </c>
      <c r="Y198" s="155"/>
      <c r="Z198" s="233">
        <v>0</v>
      </c>
      <c r="AA198" s="233">
        <v>10</v>
      </c>
      <c r="AB198" s="233">
        <v>0</v>
      </c>
      <c r="AC198" s="245">
        <v>20</v>
      </c>
      <c r="AD198" s="181"/>
    </row>
    <row r="199" spans="1:30" ht="20.100000000000001" customHeight="1" thickBot="1">
      <c r="A199" s="205" t="s">
        <v>426</v>
      </c>
      <c r="B199" s="206"/>
      <c r="C199" s="206"/>
      <c r="D199" s="206"/>
      <c r="E199" s="206"/>
      <c r="F199" s="207"/>
      <c r="G199" s="208"/>
      <c r="H199" s="221"/>
      <c r="I199" s="226"/>
      <c r="J199" s="5"/>
      <c r="K199" s="5"/>
      <c r="L199" s="5"/>
      <c r="M199" s="5"/>
      <c r="N199" s="5"/>
      <c r="O199" s="5"/>
      <c r="P199" s="5"/>
      <c r="Q199" s="5"/>
      <c r="R199" s="226"/>
      <c r="S199" s="5"/>
      <c r="T199" s="207"/>
      <c r="U199" s="220"/>
      <c r="V199" s="42">
        <f t="shared" si="11"/>
        <v>199</v>
      </c>
      <c r="Y199" s="155"/>
      <c r="Z199" s="181"/>
      <c r="AA199" s="181"/>
      <c r="AB199" s="181"/>
      <c r="AC199" s="181"/>
      <c r="AD199" s="181"/>
    </row>
    <row r="200" spans="1:30" ht="20.100000000000001" customHeight="1" thickBot="1">
      <c r="A200" s="205"/>
      <c r="B200" s="206" t="s">
        <v>427</v>
      </c>
      <c r="C200" s="206"/>
      <c r="D200" s="206"/>
      <c r="E200" s="206"/>
      <c r="F200" s="207"/>
      <c r="G200" s="208"/>
      <c r="H200" s="221"/>
      <c r="I200" s="226"/>
      <c r="J200" s="5"/>
      <c r="K200" s="5"/>
      <c r="L200" s="5"/>
      <c r="M200" s="5"/>
      <c r="N200" s="5"/>
      <c r="O200" s="5"/>
      <c r="P200" s="5"/>
      <c r="Q200" s="5"/>
      <c r="R200" s="2" t="s">
        <v>1806</v>
      </c>
      <c r="S200" s="229" t="s">
        <v>428</v>
      </c>
      <c r="T200" s="207"/>
      <c r="U200" s="220"/>
      <c r="V200" s="42">
        <f t="shared" si="11"/>
        <v>200</v>
      </c>
      <c r="W200" s="188" t="str">
        <f>IF(R200="","未入力あり","✔")</f>
        <v>✔</v>
      </c>
      <c r="Y200" s="155"/>
      <c r="Z200" s="181"/>
      <c r="AA200" s="181"/>
      <c r="AB200" s="181"/>
      <c r="AC200" s="181"/>
      <c r="AD200" s="181"/>
    </row>
    <row r="201" spans="1:30" ht="20.100000000000001" customHeight="1" thickBot="1">
      <c r="A201" s="205"/>
      <c r="B201" s="206" t="s">
        <v>429</v>
      </c>
      <c r="C201" s="206"/>
      <c r="D201" s="206"/>
      <c r="E201" s="206"/>
      <c r="F201" s="207"/>
      <c r="G201" s="208"/>
      <c r="H201" s="266"/>
      <c r="I201" s="226"/>
      <c r="J201" s="5"/>
      <c r="K201" s="5"/>
      <c r="L201" s="5"/>
      <c r="M201" s="5"/>
      <c r="N201" s="5"/>
      <c r="O201" s="5"/>
      <c r="P201" s="5"/>
      <c r="Q201" s="5"/>
      <c r="R201" s="226"/>
      <c r="S201" s="5"/>
      <c r="T201" s="207"/>
      <c r="U201" s="220"/>
      <c r="V201" s="42">
        <f t="shared" si="11"/>
        <v>201</v>
      </c>
      <c r="Y201" s="155"/>
      <c r="Z201" s="181"/>
      <c r="AA201" s="181"/>
      <c r="AB201" s="181"/>
      <c r="AC201" s="181"/>
      <c r="AD201" s="181"/>
    </row>
    <row r="202" spans="1:30" ht="20.100000000000001" customHeight="1" thickBot="1">
      <c r="A202" s="205"/>
      <c r="B202" s="206"/>
      <c r="C202" s="206" t="s">
        <v>430</v>
      </c>
      <c r="D202" s="206"/>
      <c r="E202" s="206"/>
      <c r="F202" s="207"/>
      <c r="G202" s="208"/>
      <c r="H202" s="2" t="s">
        <v>1807</v>
      </c>
      <c r="I202" s="229" t="s">
        <v>431</v>
      </c>
      <c r="J202" s="267"/>
      <c r="K202" s="267"/>
      <c r="L202" s="267"/>
      <c r="M202" s="267" t="s">
        <v>432</v>
      </c>
      <c r="N202" s="327">
        <v>12</v>
      </c>
      <c r="O202" s="181" t="s">
        <v>1779</v>
      </c>
      <c r="P202" s="181"/>
      <c r="Q202" s="181"/>
      <c r="R202" s="226"/>
      <c r="S202" s="5"/>
      <c r="T202" s="207"/>
      <c r="U202" s="220"/>
      <c r="V202" s="42">
        <f t="shared" si="11"/>
        <v>202</v>
      </c>
      <c r="W202" s="188" t="str">
        <f>IF(OR(H202="",N202=""),"未入力あり","✔")</f>
        <v>✔</v>
      </c>
      <c r="Y202" s="155"/>
      <c r="Z202" s="233">
        <v>0</v>
      </c>
      <c r="AA202" s="233">
        <v>40</v>
      </c>
      <c r="AB202" s="181"/>
      <c r="AC202" s="181"/>
      <c r="AD202" s="181"/>
    </row>
    <row r="203" spans="1:30" ht="20.100000000000001" customHeight="1" thickBot="1">
      <c r="A203" s="205"/>
      <c r="B203" s="206"/>
      <c r="C203" s="206" t="s">
        <v>433</v>
      </c>
      <c r="D203" s="206"/>
      <c r="E203" s="206"/>
      <c r="F203" s="207"/>
      <c r="G203" s="208"/>
      <c r="H203" s="2" t="s">
        <v>1807</v>
      </c>
      <c r="I203" s="229" t="s">
        <v>431</v>
      </c>
      <c r="J203" s="267"/>
      <c r="K203" s="267"/>
      <c r="L203" s="267"/>
      <c r="M203" s="267" t="s">
        <v>432</v>
      </c>
      <c r="N203" s="327">
        <v>12</v>
      </c>
      <c r="O203" s="181" t="str">
        <f>O202</f>
        <v>回開催（期間：令和５年１月１日～令和５年12月31日）</v>
      </c>
      <c r="P203" s="181"/>
      <c r="Q203" s="181"/>
      <c r="R203" s="226"/>
      <c r="S203" s="5"/>
      <c r="T203" s="207"/>
      <c r="U203" s="220"/>
      <c r="V203" s="42">
        <f t="shared" si="11"/>
        <v>203</v>
      </c>
      <c r="W203" s="188" t="str">
        <f>IF(OR(H203="",N203=""),"未入力あり","✔")</f>
        <v>✔</v>
      </c>
      <c r="Y203" s="155"/>
      <c r="Z203" s="233">
        <v>0</v>
      </c>
      <c r="AA203" s="233">
        <v>30</v>
      </c>
      <c r="AB203" s="181"/>
      <c r="AC203" s="181"/>
      <c r="AD203" s="181"/>
    </row>
    <row r="204" spans="1:30" ht="20.100000000000001" customHeight="1" thickBot="1">
      <c r="A204" s="205"/>
      <c r="B204" s="206"/>
      <c r="C204" s="206" t="s">
        <v>434</v>
      </c>
      <c r="D204" s="206"/>
      <c r="E204" s="206"/>
      <c r="F204" s="207"/>
      <c r="G204" s="208"/>
      <c r="H204" s="2" t="s">
        <v>1807</v>
      </c>
      <c r="I204" s="229" t="s">
        <v>431</v>
      </c>
      <c r="J204" s="267"/>
      <c r="K204" s="267"/>
      <c r="L204" s="267"/>
      <c r="M204" s="267" t="s">
        <v>432</v>
      </c>
      <c r="N204" s="327">
        <v>12</v>
      </c>
      <c r="O204" s="181" t="str">
        <f>O202</f>
        <v>回開催（期間：令和５年１月１日～令和５年12月31日）</v>
      </c>
      <c r="P204" s="181"/>
      <c r="Q204" s="181"/>
      <c r="R204" s="226"/>
      <c r="S204" s="5"/>
      <c r="T204" s="207"/>
      <c r="U204" s="220"/>
      <c r="V204" s="42">
        <f t="shared" ref="V204:V280" si="20">+ROW()</f>
        <v>204</v>
      </c>
      <c r="W204" s="188" t="str">
        <f>IF(OR(H204="",N204=""),"未入力あり","✔")</f>
        <v>✔</v>
      </c>
      <c r="Y204" s="155"/>
      <c r="Z204" s="233">
        <v>0</v>
      </c>
      <c r="AA204" s="233">
        <v>30</v>
      </c>
      <c r="AB204" s="181"/>
      <c r="AC204" s="181"/>
      <c r="AD204" s="181"/>
    </row>
    <row r="205" spans="1:30" ht="20.100000000000001" customHeight="1">
      <c r="A205" s="205"/>
      <c r="B205" s="206"/>
      <c r="C205" s="206"/>
      <c r="D205" s="206"/>
      <c r="E205" s="206"/>
      <c r="F205" s="207"/>
      <c r="G205" s="208"/>
      <c r="H205" s="221"/>
      <c r="I205" s="226"/>
      <c r="J205" s="5"/>
      <c r="K205" s="5"/>
      <c r="L205" s="5"/>
      <c r="M205" s="5"/>
      <c r="N205" s="5"/>
      <c r="O205" s="5"/>
      <c r="P205" s="5"/>
      <c r="Q205" s="5"/>
      <c r="R205" s="226"/>
      <c r="S205" s="229"/>
      <c r="T205" s="9"/>
      <c r="U205" s="220"/>
      <c r="V205" s="42">
        <f t="shared" si="20"/>
        <v>205</v>
      </c>
      <c r="Y205" s="155"/>
      <c r="Z205" s="181"/>
      <c r="AA205" s="181"/>
      <c r="AB205" s="181"/>
      <c r="AC205" s="181"/>
      <c r="AD205" s="181"/>
    </row>
    <row r="206" spans="1:30" ht="20.100000000000001" customHeight="1">
      <c r="A206" s="205" t="s">
        <v>435</v>
      </c>
      <c r="B206" s="206"/>
      <c r="C206" s="206"/>
      <c r="D206" s="206"/>
      <c r="E206" s="206"/>
      <c r="F206" s="207"/>
      <c r="G206" s="208"/>
      <c r="H206" s="221"/>
      <c r="I206" s="226"/>
      <c r="J206" s="5"/>
      <c r="K206" s="5"/>
      <c r="L206" s="5"/>
      <c r="M206" s="5"/>
      <c r="N206" s="5"/>
      <c r="O206" s="5"/>
      <c r="P206" s="5"/>
      <c r="Q206" s="5"/>
      <c r="R206" s="226"/>
      <c r="S206" s="5"/>
      <c r="T206" s="207"/>
      <c r="U206" s="220"/>
      <c r="V206" s="42">
        <f t="shared" si="20"/>
        <v>206</v>
      </c>
      <c r="Y206" s="155"/>
      <c r="Z206" s="1269"/>
      <c r="AA206" s="181"/>
      <c r="AB206" s="181"/>
      <c r="AC206" s="181"/>
      <c r="AD206" s="181"/>
    </row>
    <row r="207" spans="1:30" ht="20.100000000000001" customHeight="1" thickBot="1">
      <c r="A207" s="205"/>
      <c r="B207" s="206" t="s">
        <v>436</v>
      </c>
      <c r="C207" s="206" t="s">
        <v>437</v>
      </c>
      <c r="D207" s="207"/>
      <c r="E207" s="206"/>
      <c r="F207" s="228" t="s">
        <v>1737</v>
      </c>
      <c r="G207" s="268"/>
      <c r="H207" s="221"/>
      <c r="I207" s="226"/>
      <c r="J207" s="5"/>
      <c r="K207" s="5"/>
      <c r="L207" s="5"/>
      <c r="M207" s="5"/>
      <c r="N207" s="5"/>
      <c r="O207" s="5"/>
      <c r="P207" s="5"/>
      <c r="Q207" s="5"/>
      <c r="R207" s="226"/>
      <c r="S207" s="5"/>
      <c r="T207" s="207"/>
      <c r="U207" s="220"/>
      <c r="V207" s="42">
        <f t="shared" si="20"/>
        <v>207</v>
      </c>
      <c r="Y207" s="155"/>
      <c r="Z207" s="1269"/>
      <c r="AA207" s="181"/>
      <c r="AB207" s="181"/>
      <c r="AC207" s="181"/>
      <c r="AD207" s="181"/>
    </row>
    <row r="208" spans="1:30" ht="20.100000000000001" customHeight="1" thickBot="1">
      <c r="A208" s="205"/>
      <c r="B208" s="207"/>
      <c r="C208" s="206"/>
      <c r="D208" s="206" t="s">
        <v>438</v>
      </c>
      <c r="E208" s="207"/>
      <c r="F208" s="207"/>
      <c r="G208" s="208"/>
      <c r="H208" s="221"/>
      <c r="I208" s="226"/>
      <c r="J208" s="5"/>
      <c r="K208" s="5"/>
      <c r="L208" s="5"/>
      <c r="M208" s="5"/>
      <c r="N208" s="5"/>
      <c r="O208" s="5"/>
      <c r="P208" s="5"/>
      <c r="Q208" s="5"/>
      <c r="R208" s="327">
        <v>6694</v>
      </c>
      <c r="S208" s="207" t="s">
        <v>379</v>
      </c>
      <c r="T208" s="206"/>
      <c r="U208" s="223"/>
      <c r="V208" s="42">
        <f t="shared" si="20"/>
        <v>208</v>
      </c>
      <c r="W208" s="188" t="str">
        <f>IF(R208="","未入力あり","✔")</f>
        <v>✔</v>
      </c>
      <c r="Y208" s="155"/>
      <c r="Z208" s="269">
        <v>0</v>
      </c>
      <c r="AA208" s="227">
        <v>170000</v>
      </c>
      <c r="AB208" s="181"/>
      <c r="AC208" s="181"/>
      <c r="AD208" s="181"/>
    </row>
    <row r="209" spans="1:30" ht="19.5" thickBot="1">
      <c r="A209" s="205"/>
      <c r="B209" s="207"/>
      <c r="C209" s="206"/>
      <c r="D209" s="206"/>
      <c r="E209" s="206" t="s">
        <v>439</v>
      </c>
      <c r="F209" s="206"/>
      <c r="G209" s="208"/>
      <c r="H209" s="221"/>
      <c r="I209" s="226"/>
      <c r="J209" s="5"/>
      <c r="K209" s="5"/>
      <c r="L209" s="5"/>
      <c r="M209" s="5"/>
      <c r="N209" s="5"/>
      <c r="O209" s="5"/>
      <c r="P209" s="5"/>
      <c r="Q209" s="5"/>
      <c r="R209" s="327">
        <v>1548</v>
      </c>
      <c r="S209" s="207" t="s">
        <v>379</v>
      </c>
      <c r="T209" s="206"/>
      <c r="U209" s="223"/>
      <c r="V209" s="42">
        <f t="shared" si="20"/>
        <v>209</v>
      </c>
      <c r="W209" s="188" t="str">
        <f>IF(R209="","未入力あり","✔")</f>
        <v>✔</v>
      </c>
      <c r="Y209" s="155"/>
      <c r="Z209" s="269">
        <v>0</v>
      </c>
      <c r="AA209" s="227">
        <v>55000</v>
      </c>
      <c r="AB209" s="181"/>
      <c r="AC209" s="181"/>
      <c r="AD209" s="181"/>
    </row>
    <row r="210" spans="1:30" ht="20.100000000000001" customHeight="1" thickBot="1">
      <c r="A210" s="205"/>
      <c r="B210" s="207"/>
      <c r="C210" s="206"/>
      <c r="D210" s="206"/>
      <c r="E210" s="206" t="s">
        <v>440</v>
      </c>
      <c r="F210" s="206"/>
      <c r="G210" s="208"/>
      <c r="H210" s="221"/>
      <c r="I210" s="226"/>
      <c r="J210" s="5"/>
      <c r="K210" s="5"/>
      <c r="L210" s="5"/>
      <c r="M210" s="5"/>
      <c r="N210" s="5"/>
      <c r="O210" s="5"/>
      <c r="P210" s="5"/>
      <c r="Q210" s="5"/>
      <c r="R210" s="270">
        <f>IF(ISERROR(R209/R208*100),"",R209/R208*100)</f>
        <v>23.125186734389004</v>
      </c>
      <c r="S210" s="207" t="s">
        <v>441</v>
      </c>
      <c r="T210" s="206"/>
      <c r="U210" s="223"/>
      <c r="V210" s="42">
        <f t="shared" si="20"/>
        <v>210</v>
      </c>
      <c r="W210" s="3"/>
      <c r="Y210" s="155"/>
      <c r="Z210" s="271"/>
      <c r="AA210" s="181"/>
      <c r="AB210" s="181"/>
      <c r="AC210" s="181"/>
      <c r="AD210" s="181"/>
    </row>
    <row r="211" spans="1:30" ht="20.100000000000001" customHeight="1" thickBot="1">
      <c r="A211" s="272"/>
      <c r="B211" s="273"/>
      <c r="C211" s="274"/>
      <c r="D211" s="274" t="s">
        <v>442</v>
      </c>
      <c r="E211" s="273"/>
      <c r="F211" s="273"/>
      <c r="G211" s="275"/>
      <c r="H211" s="266"/>
      <c r="I211" s="234"/>
      <c r="J211" s="276"/>
      <c r="K211" s="276"/>
      <c r="L211" s="276"/>
      <c r="M211" s="276"/>
      <c r="N211" s="276"/>
      <c r="O211" s="276"/>
      <c r="P211" s="276"/>
      <c r="Q211" s="276"/>
      <c r="R211" s="327">
        <v>13845</v>
      </c>
      <c r="S211" s="207" t="s">
        <v>379</v>
      </c>
      <c r="T211" s="206"/>
      <c r="U211" s="223"/>
      <c r="V211" s="42">
        <f t="shared" si="20"/>
        <v>211</v>
      </c>
      <c r="W211" s="188" t="str">
        <f>IF(R211="","未入力あり","✔")</f>
        <v>✔</v>
      </c>
      <c r="Y211" s="155"/>
      <c r="Z211" s="269">
        <v>0</v>
      </c>
      <c r="AA211" s="227">
        <v>270000</v>
      </c>
      <c r="AB211" s="181"/>
      <c r="AC211" s="181"/>
      <c r="AD211" s="181"/>
    </row>
    <row r="212" spans="1:30" ht="20.100000000000001" customHeight="1" thickBot="1">
      <c r="A212" s="205"/>
      <c r="B212" s="207"/>
      <c r="C212" s="206"/>
      <c r="D212" s="206" t="s">
        <v>443</v>
      </c>
      <c r="E212" s="207"/>
      <c r="F212" s="207"/>
      <c r="G212" s="208"/>
      <c r="H212" s="221"/>
      <c r="I212" s="226"/>
      <c r="J212" s="5"/>
      <c r="K212" s="5"/>
      <c r="L212" s="5"/>
      <c r="M212" s="5"/>
      <c r="N212" s="5"/>
      <c r="O212" s="5"/>
      <c r="P212" s="5"/>
      <c r="Q212" s="277"/>
      <c r="R212" s="327">
        <v>353</v>
      </c>
      <c r="S212" s="207" t="s">
        <v>379</v>
      </c>
      <c r="T212" s="206"/>
      <c r="U212" s="223"/>
      <c r="V212" s="42">
        <f t="shared" si="20"/>
        <v>212</v>
      </c>
      <c r="W212" s="188" t="str">
        <f>IF(R212="","未入力あり","✔")</f>
        <v>✔</v>
      </c>
      <c r="Y212" s="155"/>
      <c r="Z212" s="269">
        <v>0</v>
      </c>
      <c r="AA212" s="227">
        <v>640</v>
      </c>
      <c r="AB212" s="181"/>
      <c r="AC212" s="181"/>
      <c r="AD212" s="181"/>
    </row>
    <row r="213" spans="1:30" ht="99.75" customHeight="1">
      <c r="A213" s="278"/>
      <c r="B213" s="3"/>
      <c r="C213" s="7"/>
      <c r="D213" s="1305" t="s">
        <v>1642</v>
      </c>
      <c r="E213" s="1305"/>
      <c r="F213" s="1305"/>
      <c r="G213" s="1305"/>
      <c r="H213" s="1305"/>
      <c r="I213" s="1305"/>
      <c r="J213" s="1305"/>
      <c r="K213" s="1305"/>
      <c r="L213" s="1305"/>
      <c r="M213" s="1305"/>
      <c r="N213" s="1305"/>
      <c r="O213" s="1305"/>
      <c r="P213" s="1305"/>
      <c r="Q213" s="1305"/>
      <c r="R213" s="1305"/>
      <c r="S213" s="5"/>
      <c r="T213" s="207"/>
      <c r="U213" s="220"/>
      <c r="V213" s="42">
        <f t="shared" si="20"/>
        <v>213</v>
      </c>
      <c r="Y213" s="155"/>
      <c r="AA213" s="181"/>
      <c r="AB213" s="181"/>
      <c r="AC213" s="181"/>
      <c r="AD213" s="181"/>
    </row>
    <row r="214" spans="1:30" ht="20.100000000000001" customHeight="1">
      <c r="A214" s="205"/>
      <c r="B214" s="206"/>
      <c r="C214" s="206"/>
      <c r="D214" s="206"/>
      <c r="E214" s="208"/>
      <c r="F214" s="206"/>
      <c r="G214" s="206"/>
      <c r="H214" s="221"/>
      <c r="I214" s="226"/>
      <c r="J214" s="5"/>
      <c r="K214" s="5"/>
      <c r="L214" s="5"/>
      <c r="M214" s="5"/>
      <c r="N214" s="5"/>
      <c r="O214" s="5"/>
      <c r="P214" s="5"/>
      <c r="Q214" s="5"/>
      <c r="R214" s="279"/>
      <c r="S214" s="207"/>
      <c r="T214" s="206"/>
      <c r="U214" s="280"/>
      <c r="V214" s="42">
        <f t="shared" si="20"/>
        <v>214</v>
      </c>
      <c r="Y214" s="155"/>
      <c r="Z214" s="281"/>
      <c r="AA214" s="181"/>
      <c r="AB214" s="181"/>
      <c r="AC214" s="181"/>
      <c r="AD214" s="181"/>
    </row>
    <row r="215" spans="1:30" ht="19.5" customHeight="1">
      <c r="A215" s="205"/>
      <c r="B215" s="206"/>
      <c r="C215" s="206"/>
      <c r="D215" s="206"/>
      <c r="E215" s="206"/>
      <c r="F215" s="207"/>
      <c r="G215" s="206"/>
      <c r="H215" s="221"/>
      <c r="I215" s="226"/>
      <c r="J215" s="5"/>
      <c r="K215" s="5"/>
      <c r="L215" s="5"/>
      <c r="M215" s="5"/>
      <c r="N215" s="5"/>
      <c r="O215" s="5"/>
      <c r="P215" s="5"/>
      <c r="Q215" s="5"/>
      <c r="R215" s="257"/>
      <c r="S215" s="207"/>
      <c r="T215" s="207"/>
      <c r="U215" s="282"/>
      <c r="V215" s="42">
        <f t="shared" si="20"/>
        <v>215</v>
      </c>
      <c r="Y215" s="155"/>
      <c r="Z215" s="281"/>
      <c r="AA215" s="181"/>
      <c r="AB215" s="181"/>
      <c r="AC215" s="181"/>
      <c r="AD215" s="181"/>
    </row>
    <row r="216" spans="1:30" ht="20.100000000000001" customHeight="1">
      <c r="A216" s="205"/>
      <c r="B216" s="206" t="s">
        <v>444</v>
      </c>
      <c r="C216" s="206" t="s">
        <v>445</v>
      </c>
      <c r="D216" s="207"/>
      <c r="E216" s="206"/>
      <c r="F216" s="206"/>
      <c r="G216" s="208"/>
      <c r="H216" s="221"/>
      <c r="I216" s="226"/>
      <c r="J216" s="5"/>
      <c r="K216" s="5"/>
      <c r="L216" s="5"/>
      <c r="M216" s="5"/>
      <c r="N216" s="5"/>
      <c r="O216" s="5"/>
      <c r="P216" s="5"/>
      <c r="Q216" s="5"/>
      <c r="R216" s="283"/>
      <c r="S216" s="207"/>
      <c r="T216" s="207"/>
      <c r="U216" s="220"/>
      <c r="V216" s="42">
        <f t="shared" si="20"/>
        <v>216</v>
      </c>
      <c r="Y216" s="155"/>
      <c r="Z216" s="281"/>
      <c r="AA216" s="181"/>
      <c r="AB216" s="181"/>
      <c r="AC216" s="181"/>
      <c r="AD216" s="181"/>
    </row>
    <row r="217" spans="1:30" ht="20.100000000000001" customHeight="1" thickBot="1">
      <c r="A217" s="205"/>
      <c r="B217" s="207"/>
      <c r="C217" s="206" t="s">
        <v>446</v>
      </c>
      <c r="D217" s="206" t="s">
        <v>447</v>
      </c>
      <c r="E217" s="207"/>
      <c r="F217" s="207"/>
      <c r="G217" s="228" t="str">
        <f>F207</f>
        <v>（期間：令和５年１月１日～令和５年12月31日）</v>
      </c>
      <c r="H217" s="181"/>
      <c r="I217" s="284"/>
      <c r="J217" s="5"/>
      <c r="K217" s="5"/>
      <c r="L217" s="5"/>
      <c r="M217" s="5"/>
      <c r="N217" s="5"/>
      <c r="O217" s="5"/>
      <c r="P217" s="5"/>
      <c r="Q217" s="5"/>
      <c r="R217" s="283"/>
      <c r="S217" s="207"/>
      <c r="T217" s="207"/>
      <c r="U217" s="220"/>
      <c r="V217" s="42">
        <f t="shared" si="20"/>
        <v>217</v>
      </c>
      <c r="Y217" s="155"/>
      <c r="Z217" s="281"/>
      <c r="AA217" s="181"/>
      <c r="AB217" s="181"/>
      <c r="AC217" s="181"/>
      <c r="AD217" s="181"/>
    </row>
    <row r="218" spans="1:30" ht="20.100000000000001" customHeight="1" thickBot="1">
      <c r="A218" s="205"/>
      <c r="B218" s="206"/>
      <c r="C218" s="206"/>
      <c r="D218" s="206"/>
      <c r="E218" s="206" t="s">
        <v>448</v>
      </c>
      <c r="F218" s="207"/>
      <c r="G218" s="208"/>
      <c r="H218" s="221"/>
      <c r="I218" s="226"/>
      <c r="J218" s="5"/>
      <c r="K218" s="5"/>
      <c r="L218" s="5"/>
      <c r="M218" s="5"/>
      <c r="N218" s="5"/>
      <c r="O218" s="5"/>
      <c r="P218" s="5"/>
      <c r="Q218" s="5"/>
      <c r="R218" s="327">
        <v>5029</v>
      </c>
      <c r="S218" s="207" t="s">
        <v>449</v>
      </c>
      <c r="T218" s="207"/>
      <c r="U218" s="220"/>
      <c r="V218" s="42">
        <f t="shared" si="20"/>
        <v>218</v>
      </c>
      <c r="W218" s="188" t="str">
        <f>IF(R218="","未入力あり","✔")</f>
        <v>✔</v>
      </c>
      <c r="Y218" s="155"/>
      <c r="Z218" s="285">
        <v>0</v>
      </c>
      <c r="AA218" s="227">
        <v>21000</v>
      </c>
      <c r="AB218" s="181"/>
      <c r="AC218" s="181"/>
      <c r="AD218" s="181"/>
    </row>
    <row r="219" spans="1:30" ht="20.100000000000001" customHeight="1" thickBot="1">
      <c r="A219" s="205"/>
      <c r="B219" s="206"/>
      <c r="C219" s="206"/>
      <c r="D219" s="206"/>
      <c r="E219" s="206" t="s">
        <v>450</v>
      </c>
      <c r="F219" s="207"/>
      <c r="G219" s="208"/>
      <c r="H219" s="221"/>
      <c r="I219" s="226"/>
      <c r="J219" s="5"/>
      <c r="K219" s="5"/>
      <c r="L219" s="5"/>
      <c r="M219" s="5"/>
      <c r="N219" s="5"/>
      <c r="O219" s="5"/>
      <c r="P219" s="5"/>
      <c r="Q219" s="5"/>
      <c r="R219" s="327">
        <v>8136</v>
      </c>
      <c r="S219" s="207" t="s">
        <v>449</v>
      </c>
      <c r="T219" s="207"/>
      <c r="U219" s="220"/>
      <c r="V219" s="42">
        <f t="shared" si="20"/>
        <v>219</v>
      </c>
      <c r="W219" s="188" t="str">
        <f>IF(R219="","未入力あり","✔")</f>
        <v>✔</v>
      </c>
      <c r="Y219" s="155"/>
      <c r="Z219" s="285">
        <v>0</v>
      </c>
      <c r="AA219" s="227">
        <v>16000</v>
      </c>
      <c r="AB219" s="181"/>
      <c r="AC219" s="181"/>
      <c r="AD219" s="181"/>
    </row>
    <row r="220" spans="1:30" ht="20.100000000000001" customHeight="1" thickBot="1">
      <c r="A220" s="205"/>
      <c r="B220" s="206"/>
      <c r="C220" s="206"/>
      <c r="D220" s="206"/>
      <c r="E220" s="206" t="s">
        <v>451</v>
      </c>
      <c r="F220" s="207"/>
      <c r="G220" s="208"/>
      <c r="H220" s="221"/>
      <c r="I220" s="226"/>
      <c r="J220" s="5"/>
      <c r="K220" s="5"/>
      <c r="L220" s="5"/>
      <c r="M220" s="5"/>
      <c r="N220" s="5"/>
      <c r="O220" s="5"/>
      <c r="P220" s="5"/>
      <c r="Q220" s="5"/>
      <c r="R220" s="327">
        <v>164</v>
      </c>
      <c r="S220" s="207" t="s">
        <v>449</v>
      </c>
      <c r="T220" s="207"/>
      <c r="U220" s="220"/>
      <c r="V220" s="42">
        <f t="shared" si="20"/>
        <v>220</v>
      </c>
      <c r="W220" s="188" t="str">
        <f>IF(R220="","未入力あり","✔")</f>
        <v>✔</v>
      </c>
      <c r="Y220" s="155"/>
      <c r="Z220" s="285">
        <v>0</v>
      </c>
      <c r="AA220" s="227">
        <v>2300</v>
      </c>
      <c r="AB220" s="181"/>
      <c r="AC220" s="181"/>
      <c r="AD220" s="181"/>
    </row>
    <row r="221" spans="1:30" ht="20.100000000000001" customHeight="1">
      <c r="A221" s="286"/>
      <c r="B221" s="287"/>
      <c r="C221" s="287"/>
      <c r="D221" s="287"/>
      <c r="E221" s="287"/>
      <c r="F221" s="288"/>
      <c r="G221" s="289"/>
      <c r="H221" s="290"/>
      <c r="I221" s="291"/>
      <c r="J221" s="292"/>
      <c r="K221" s="292"/>
      <c r="L221" s="292"/>
      <c r="M221" s="292"/>
      <c r="N221" s="292"/>
      <c r="O221" s="292"/>
      <c r="P221" s="292"/>
      <c r="Q221" s="292"/>
      <c r="R221" s="291"/>
      <c r="S221" s="292"/>
      <c r="T221" s="288"/>
      <c r="U221" s="293"/>
      <c r="V221" s="42">
        <f t="shared" si="20"/>
        <v>221</v>
      </c>
      <c r="Y221" s="155"/>
      <c r="AA221" s="181"/>
      <c r="AB221" s="181"/>
      <c r="AC221" s="181"/>
      <c r="AD221" s="181"/>
    </row>
    <row r="222" spans="1:30" ht="20.100000000000001" customHeight="1">
      <c r="A222" s="1208" t="s">
        <v>1738</v>
      </c>
      <c r="B222" s="1209"/>
      <c r="C222" s="928"/>
      <c r="D222" s="294"/>
      <c r="E222" s="295"/>
      <c r="F222" s="296"/>
      <c r="G222" s="296"/>
      <c r="H222" s="296"/>
      <c r="I222" s="296"/>
      <c r="J222" s="296"/>
      <c r="K222" s="222"/>
      <c r="L222" s="5"/>
      <c r="M222" s="5"/>
      <c r="N222" s="5"/>
      <c r="O222" s="5"/>
      <c r="P222" s="5"/>
      <c r="Q222" s="5"/>
      <c r="R222" s="226"/>
      <c r="S222" s="5"/>
      <c r="T222" s="207"/>
      <c r="U222" s="220"/>
      <c r="V222" s="42">
        <f t="shared" si="20"/>
        <v>222</v>
      </c>
      <c r="Y222" s="155"/>
    </row>
    <row r="223" spans="1:30" ht="20.100000000000001" customHeight="1">
      <c r="A223" s="297"/>
      <c r="B223" s="298" t="s">
        <v>452</v>
      </c>
      <c r="C223" s="299"/>
      <c r="F223" s="181"/>
      <c r="G223" s="181"/>
      <c r="H223" s="182"/>
      <c r="I223" s="182"/>
      <c r="J223" s="300"/>
      <c r="K223" s="189"/>
      <c r="O223" s="181"/>
      <c r="R223" s="181"/>
      <c r="S223" s="181"/>
      <c r="T223" s="181"/>
      <c r="U223" s="301"/>
      <c r="V223" s="42">
        <f t="shared" si="20"/>
        <v>223</v>
      </c>
      <c r="W223" s="181"/>
      <c r="X223" s="181"/>
      <c r="Y223" s="155"/>
      <c r="Z223" s="181"/>
      <c r="AA223" s="181"/>
      <c r="AB223" s="181"/>
      <c r="AC223" s="181"/>
      <c r="AD223" s="181"/>
    </row>
    <row r="224" spans="1:30" ht="20.100000000000001" customHeight="1">
      <c r="A224" s="278"/>
      <c r="B224" s="298"/>
      <c r="C224" s="302" t="s">
        <v>1739</v>
      </c>
      <c r="D224" s="274"/>
      <c r="E224" s="274"/>
      <c r="F224" s="274"/>
      <c r="G224" s="274"/>
      <c r="H224" s="274"/>
      <c r="I224" s="275"/>
      <c r="J224" s="303"/>
      <c r="K224" s="304"/>
      <c r="L224" s="5"/>
      <c r="M224" s="5"/>
      <c r="N224" s="5"/>
      <c r="O224" s="5"/>
      <c r="P224" s="5"/>
      <c r="Q224" s="5"/>
      <c r="R224" s="226"/>
      <c r="S224" s="5"/>
      <c r="T224" s="207"/>
      <c r="U224" s="220"/>
      <c r="V224" s="42">
        <f t="shared" si="20"/>
        <v>224</v>
      </c>
      <c r="Y224" s="155"/>
    </row>
    <row r="225" spans="1:27" ht="20.100000000000001" customHeight="1" thickBot="1">
      <c r="A225" s="305"/>
      <c r="B225" s="306"/>
      <c r="C225" s="307"/>
      <c r="D225" s="302" t="s">
        <v>453</v>
      </c>
      <c r="E225" s="189"/>
      <c r="F225" s="181"/>
      <c r="G225" s="181"/>
      <c r="H225" s="181"/>
      <c r="I225" s="182"/>
      <c r="J225" s="300"/>
      <c r="K225" s="308"/>
      <c r="L225" s="5"/>
      <c r="M225" s="5"/>
      <c r="N225" s="5"/>
      <c r="O225" s="5"/>
      <c r="P225" s="5"/>
      <c r="Q225" s="5"/>
      <c r="R225" s="309"/>
      <c r="S225" s="206"/>
      <c r="T225" s="207"/>
      <c r="U225" s="220"/>
      <c r="V225" s="42">
        <f t="shared" si="20"/>
        <v>225</v>
      </c>
      <c r="Y225" s="155"/>
    </row>
    <row r="226" spans="1:27" ht="20.100000000000001" customHeight="1" thickBot="1">
      <c r="A226" s="305"/>
      <c r="B226" s="306"/>
      <c r="C226" s="307"/>
      <c r="D226" s="310"/>
      <c r="E226" s="1266" t="s">
        <v>454</v>
      </c>
      <c r="F226" s="1267"/>
      <c r="G226" s="1267"/>
      <c r="H226" s="1267"/>
      <c r="I226" s="1267"/>
      <c r="J226" s="1268"/>
      <c r="K226" s="308"/>
      <c r="L226" s="5"/>
      <c r="M226" s="5"/>
      <c r="N226" s="5"/>
      <c r="O226" s="5"/>
      <c r="P226" s="5"/>
      <c r="Q226" s="5"/>
      <c r="R226" s="327">
        <v>2</v>
      </c>
      <c r="S226" s="206" t="s">
        <v>449</v>
      </c>
      <c r="T226" s="207"/>
      <c r="U226" s="220"/>
      <c r="V226" s="42">
        <f t="shared" si="20"/>
        <v>226</v>
      </c>
      <c r="W226" s="188" t="str">
        <f t="shared" ref="W226:W229" si="21">IF(R226="","未入力あり","✔")</f>
        <v>✔</v>
      </c>
      <c r="Y226" s="155"/>
      <c r="Z226" s="233">
        <v>0</v>
      </c>
      <c r="AA226" s="233">
        <v>100</v>
      </c>
    </row>
    <row r="227" spans="1:27" ht="20.100000000000001" customHeight="1" thickBot="1">
      <c r="A227" s="305"/>
      <c r="B227" s="306"/>
      <c r="C227" s="307"/>
      <c r="D227" s="310"/>
      <c r="E227" s="311" t="s">
        <v>455</v>
      </c>
      <c r="F227" s="206"/>
      <c r="G227" s="206"/>
      <c r="H227" s="206"/>
      <c r="I227" s="208"/>
      <c r="J227" s="312"/>
      <c r="K227" s="308"/>
      <c r="L227" s="5"/>
      <c r="M227" s="5"/>
      <c r="N227" s="5"/>
      <c r="O227" s="5"/>
      <c r="P227" s="5"/>
      <c r="Q227" s="5"/>
      <c r="R227" s="327">
        <v>62</v>
      </c>
      <c r="S227" s="206" t="s">
        <v>449</v>
      </c>
      <c r="T227" s="207"/>
      <c r="U227" s="220"/>
      <c r="V227" s="42">
        <f t="shared" si="20"/>
        <v>227</v>
      </c>
      <c r="W227" s="188" t="str">
        <f t="shared" si="21"/>
        <v>✔</v>
      </c>
      <c r="Y227" s="155"/>
      <c r="Z227" s="233">
        <v>0</v>
      </c>
      <c r="AA227" s="233">
        <v>300</v>
      </c>
    </row>
    <row r="228" spans="1:27" ht="20.100000000000001" customHeight="1" thickBot="1">
      <c r="A228" s="305"/>
      <c r="B228" s="306"/>
      <c r="C228" s="307"/>
      <c r="D228" s="310"/>
      <c r="E228" s="302" t="s">
        <v>456</v>
      </c>
      <c r="F228" s="274" t="s">
        <v>457</v>
      </c>
      <c r="G228" s="274"/>
      <c r="H228" s="274"/>
      <c r="I228" s="275"/>
      <c r="J228" s="313"/>
      <c r="K228" s="308"/>
      <c r="L228" s="5"/>
      <c r="M228" s="5"/>
      <c r="N228" s="5"/>
      <c r="O228" s="5"/>
      <c r="P228" s="5"/>
      <c r="Q228" s="5"/>
      <c r="R228" s="327">
        <v>6</v>
      </c>
      <c r="S228" s="206" t="s">
        <v>449</v>
      </c>
      <c r="T228" s="207"/>
      <c r="U228" s="220"/>
      <c r="V228" s="42">
        <f t="shared" si="20"/>
        <v>228</v>
      </c>
      <c r="W228" s="188" t="str">
        <f t="shared" ref="W228" si="22">IF(R228="","未入力あり","✔")</f>
        <v>✔</v>
      </c>
      <c r="Y228" s="155"/>
      <c r="Z228" s="233">
        <v>0</v>
      </c>
      <c r="AA228" s="230">
        <v>200</v>
      </c>
    </row>
    <row r="229" spans="1:27" ht="20.100000000000001" customHeight="1" thickBot="1">
      <c r="A229" s="305"/>
      <c r="B229" s="306"/>
      <c r="C229" s="307"/>
      <c r="D229" s="310"/>
      <c r="E229" s="302" t="s">
        <v>458</v>
      </c>
      <c r="F229" s="274"/>
      <c r="G229" s="274"/>
      <c r="H229" s="274"/>
      <c r="I229" s="275"/>
      <c r="J229" s="313"/>
      <c r="K229" s="308"/>
      <c r="L229" s="5"/>
      <c r="M229" s="5"/>
      <c r="N229" s="5"/>
      <c r="O229" s="5"/>
      <c r="P229" s="5"/>
      <c r="Q229" s="5"/>
      <c r="R229" s="327">
        <v>9</v>
      </c>
      <c r="S229" s="206" t="s">
        <v>449</v>
      </c>
      <c r="T229" s="207"/>
      <c r="U229" s="220"/>
      <c r="V229" s="42">
        <f t="shared" si="20"/>
        <v>229</v>
      </c>
      <c r="W229" s="188" t="str">
        <f t="shared" si="21"/>
        <v>✔</v>
      </c>
      <c r="Y229" s="155"/>
      <c r="Z229" s="233">
        <v>0</v>
      </c>
      <c r="AA229" s="233">
        <v>1100</v>
      </c>
    </row>
    <row r="230" spans="1:27" ht="20.100000000000001" customHeight="1" thickBot="1">
      <c r="A230" s="278"/>
      <c r="B230" s="298"/>
      <c r="C230" s="307"/>
      <c r="D230" s="302" t="s">
        <v>459</v>
      </c>
      <c r="E230" s="206"/>
      <c r="F230" s="206"/>
      <c r="G230" s="206"/>
      <c r="H230" s="206"/>
      <c r="I230" s="208"/>
      <c r="J230" s="222"/>
      <c r="K230" s="308"/>
      <c r="L230" s="5"/>
      <c r="M230" s="5"/>
      <c r="N230" s="5"/>
      <c r="O230" s="5"/>
      <c r="P230" s="5"/>
      <c r="Q230" s="5"/>
      <c r="R230" s="234"/>
      <c r="S230" s="5"/>
      <c r="T230" s="207"/>
      <c r="U230" s="220"/>
      <c r="V230" s="42">
        <f t="shared" si="20"/>
        <v>230</v>
      </c>
      <c r="Y230" s="155"/>
      <c r="Z230" s="181"/>
      <c r="AA230" s="181"/>
    </row>
    <row r="231" spans="1:27" ht="20.100000000000001" customHeight="1" thickBot="1">
      <c r="A231" s="278"/>
      <c r="B231" s="298"/>
      <c r="C231" s="307"/>
      <c r="D231" s="314"/>
      <c r="E231" s="311" t="s">
        <v>460</v>
      </c>
      <c r="F231" s="206"/>
      <c r="G231" s="206"/>
      <c r="H231" s="206"/>
      <c r="I231" s="208"/>
      <c r="J231" s="312"/>
      <c r="K231" s="308"/>
      <c r="L231" s="5"/>
      <c r="M231" s="5"/>
      <c r="N231" s="5"/>
      <c r="O231" s="5"/>
      <c r="P231" s="5"/>
      <c r="Q231" s="5"/>
      <c r="R231" s="327">
        <v>0</v>
      </c>
      <c r="S231" s="206" t="s">
        <v>449</v>
      </c>
      <c r="T231" s="207"/>
      <c r="U231" s="220"/>
      <c r="V231" s="42">
        <f t="shared" si="20"/>
        <v>231</v>
      </c>
      <c r="W231" s="188" t="str">
        <f t="shared" ref="W231:W233" si="23">IF(R231="","未入力あり","✔")</f>
        <v>✔</v>
      </c>
      <c r="Y231" s="155"/>
      <c r="Z231" s="233">
        <v>0</v>
      </c>
      <c r="AA231" s="233">
        <v>90</v>
      </c>
    </row>
    <row r="232" spans="1:27" ht="20.100000000000001" customHeight="1" thickBot="1">
      <c r="A232" s="278"/>
      <c r="B232" s="298"/>
      <c r="C232" s="307"/>
      <c r="D232" s="315"/>
      <c r="E232" s="311" t="s">
        <v>461</v>
      </c>
      <c r="F232" s="206"/>
      <c r="G232" s="206"/>
      <c r="H232" s="206"/>
      <c r="I232" s="208" t="s">
        <v>462</v>
      </c>
      <c r="J232" s="316"/>
      <c r="K232" s="308"/>
      <c r="L232" s="5"/>
      <c r="M232" s="5"/>
      <c r="N232" s="5"/>
      <c r="O232" s="5"/>
      <c r="P232" s="5"/>
      <c r="Q232" s="5"/>
      <c r="R232" s="327">
        <v>31</v>
      </c>
      <c r="S232" s="206" t="s">
        <v>449</v>
      </c>
      <c r="T232" s="207"/>
      <c r="U232" s="220"/>
      <c r="V232" s="42">
        <f t="shared" si="20"/>
        <v>232</v>
      </c>
      <c r="W232" s="188" t="str">
        <f t="shared" si="23"/>
        <v>✔</v>
      </c>
      <c r="Y232" s="155"/>
      <c r="Z232" s="233">
        <v>0</v>
      </c>
      <c r="AA232" s="233">
        <v>300</v>
      </c>
    </row>
    <row r="233" spans="1:27" ht="20.100000000000001" customHeight="1" thickBot="1">
      <c r="A233" s="305"/>
      <c r="B233" s="306"/>
      <c r="C233" s="307"/>
      <c r="D233" s="310"/>
      <c r="E233" s="302" t="s">
        <v>456</v>
      </c>
      <c r="F233" s="274" t="s">
        <v>457</v>
      </c>
      <c r="G233" s="274"/>
      <c r="H233" s="274"/>
      <c r="I233" s="275"/>
      <c r="J233" s="313"/>
      <c r="K233" s="308"/>
      <c r="L233" s="5"/>
      <c r="M233" s="5"/>
      <c r="N233" s="5"/>
      <c r="O233" s="5"/>
      <c r="P233" s="5"/>
      <c r="Q233" s="5"/>
      <c r="R233" s="327">
        <v>0</v>
      </c>
      <c r="S233" s="206" t="s">
        <v>449</v>
      </c>
      <c r="T233" s="207"/>
      <c r="U233" s="220"/>
      <c r="V233" s="42">
        <f t="shared" si="20"/>
        <v>233</v>
      </c>
      <c r="W233" s="188" t="str">
        <f t="shared" si="23"/>
        <v>✔</v>
      </c>
      <c r="Y233" s="155"/>
      <c r="Z233" s="233">
        <v>0</v>
      </c>
      <c r="AA233" s="230">
        <v>200</v>
      </c>
    </row>
    <row r="234" spans="1:27" ht="20.100000000000001" customHeight="1" thickBot="1">
      <c r="A234" s="305"/>
      <c r="B234" s="306"/>
      <c r="C234" s="307"/>
      <c r="D234" s="1299" t="s">
        <v>463</v>
      </c>
      <c r="E234" s="1300"/>
      <c r="F234" s="1300"/>
      <c r="G234" s="1300"/>
      <c r="H234" s="1300"/>
      <c r="I234" s="1300"/>
      <c r="J234" s="1300"/>
      <c r="K234" s="308"/>
      <c r="L234" s="5"/>
      <c r="M234" s="5"/>
      <c r="N234" s="5"/>
      <c r="O234" s="5"/>
      <c r="P234" s="5"/>
      <c r="Q234" s="5"/>
      <c r="R234" s="317"/>
      <c r="S234" s="206"/>
      <c r="T234" s="207"/>
      <c r="U234" s="220"/>
      <c r="V234" s="42">
        <f t="shared" si="20"/>
        <v>234</v>
      </c>
      <c r="Y234" s="155"/>
      <c r="Z234" s="181"/>
      <c r="AA234" s="181"/>
    </row>
    <row r="235" spans="1:27" ht="20.100000000000001" customHeight="1" thickBot="1">
      <c r="A235" s="305"/>
      <c r="B235" s="306"/>
      <c r="C235" s="307"/>
      <c r="D235" s="310"/>
      <c r="E235" s="1301" t="s">
        <v>464</v>
      </c>
      <c r="F235" s="1294"/>
      <c r="G235" s="1294"/>
      <c r="H235" s="1294"/>
      <c r="I235" s="1294"/>
      <c r="J235" s="1302"/>
      <c r="K235" s="308"/>
      <c r="L235" s="5"/>
      <c r="M235" s="5"/>
      <c r="N235" s="5"/>
      <c r="O235" s="5"/>
      <c r="P235" s="5"/>
      <c r="Q235" s="5"/>
      <c r="R235" s="327">
        <v>5</v>
      </c>
      <c r="S235" s="206" t="s">
        <v>449</v>
      </c>
      <c r="T235" s="207"/>
      <c r="U235" s="220"/>
      <c r="V235" s="42">
        <f t="shared" si="20"/>
        <v>235</v>
      </c>
      <c r="W235" s="188" t="str">
        <f t="shared" ref="W235:W239" si="24">IF(R235="","未入力あり","✔")</f>
        <v>✔</v>
      </c>
      <c r="Y235" s="155"/>
      <c r="Z235" s="233">
        <v>0</v>
      </c>
      <c r="AA235" s="233">
        <v>70</v>
      </c>
    </row>
    <row r="236" spans="1:27" ht="20.100000000000001" customHeight="1" thickBot="1">
      <c r="A236" s="305"/>
      <c r="B236" s="306"/>
      <c r="C236" s="307"/>
      <c r="D236" s="310"/>
      <c r="E236" s="311" t="s">
        <v>465</v>
      </c>
      <c r="F236" s="206"/>
      <c r="G236" s="206"/>
      <c r="H236" s="206"/>
      <c r="I236" s="208"/>
      <c r="J236" s="312"/>
      <c r="K236" s="308"/>
      <c r="L236" s="5"/>
      <c r="M236" s="5"/>
      <c r="N236" s="5"/>
      <c r="O236" s="5"/>
      <c r="P236" s="5"/>
      <c r="Q236" s="5"/>
      <c r="R236" s="327">
        <v>27</v>
      </c>
      <c r="S236" s="206" t="s">
        <v>449</v>
      </c>
      <c r="T236" s="207"/>
      <c r="U236" s="220"/>
      <c r="V236" s="42">
        <f t="shared" si="20"/>
        <v>236</v>
      </c>
      <c r="W236" s="188" t="str">
        <f t="shared" si="24"/>
        <v>✔</v>
      </c>
      <c r="Y236" s="155"/>
      <c r="Z236" s="233">
        <v>0</v>
      </c>
      <c r="AA236" s="233">
        <v>130</v>
      </c>
    </row>
    <row r="237" spans="1:27" ht="20.100000000000001" customHeight="1" thickBot="1">
      <c r="A237" s="305"/>
      <c r="B237" s="306"/>
      <c r="C237" s="307"/>
      <c r="D237" s="310"/>
      <c r="E237" s="311" t="s">
        <v>466</v>
      </c>
      <c r="F237" s="206"/>
      <c r="G237" s="206"/>
      <c r="H237" s="206"/>
      <c r="I237" s="208"/>
      <c r="J237" s="312"/>
      <c r="K237" s="308"/>
      <c r="L237" s="5"/>
      <c r="M237" s="5"/>
      <c r="N237" s="5"/>
      <c r="O237" s="5"/>
      <c r="P237" s="5"/>
      <c r="Q237" s="5"/>
      <c r="R237" s="327">
        <v>19</v>
      </c>
      <c r="S237" s="206" t="s">
        <v>449</v>
      </c>
      <c r="T237" s="207"/>
      <c r="U237" s="220"/>
      <c r="V237" s="42">
        <f t="shared" si="20"/>
        <v>237</v>
      </c>
      <c r="W237" s="188" t="str">
        <f t="shared" ref="W237" si="25">IF(R237="","未入力あり","✔")</f>
        <v>✔</v>
      </c>
      <c r="Y237" s="155"/>
      <c r="Z237" s="233">
        <v>0</v>
      </c>
      <c r="AA237" s="230">
        <v>100</v>
      </c>
    </row>
    <row r="238" spans="1:27" ht="20.100000000000001" customHeight="1" thickBot="1">
      <c r="A238" s="305"/>
      <c r="B238" s="306"/>
      <c r="C238" s="307"/>
      <c r="D238" s="310"/>
      <c r="E238" s="311" t="s">
        <v>467</v>
      </c>
      <c r="F238" s="206"/>
      <c r="G238" s="206"/>
      <c r="H238" s="206"/>
      <c r="I238" s="208" t="s">
        <v>462</v>
      </c>
      <c r="J238" s="312"/>
      <c r="K238" s="308"/>
      <c r="L238" s="5"/>
      <c r="M238" s="5"/>
      <c r="N238" s="5"/>
      <c r="O238" s="5"/>
      <c r="P238" s="5"/>
      <c r="Q238" s="5"/>
      <c r="R238" s="327">
        <v>0</v>
      </c>
      <c r="S238" s="206" t="s">
        <v>449</v>
      </c>
      <c r="T238" s="207"/>
      <c r="U238" s="220"/>
      <c r="V238" s="42">
        <f t="shared" si="20"/>
        <v>238</v>
      </c>
      <c r="W238" s="188" t="str">
        <f t="shared" si="24"/>
        <v>✔</v>
      </c>
      <c r="Y238" s="155"/>
      <c r="Z238" s="233">
        <v>0</v>
      </c>
      <c r="AA238" s="233">
        <v>40</v>
      </c>
    </row>
    <row r="239" spans="1:27" ht="20.100000000000001" customHeight="1" thickBot="1">
      <c r="A239" s="305"/>
      <c r="B239" s="306"/>
      <c r="C239" s="307"/>
      <c r="D239" s="310"/>
      <c r="E239" s="311" t="s">
        <v>468</v>
      </c>
      <c r="F239" s="206"/>
      <c r="G239" s="206"/>
      <c r="H239" s="206"/>
      <c r="I239" s="208"/>
      <c r="J239" s="312"/>
      <c r="K239" s="308"/>
      <c r="L239" s="5"/>
      <c r="M239" s="5"/>
      <c r="N239" s="5"/>
      <c r="O239" s="5"/>
      <c r="P239" s="5"/>
      <c r="Q239" s="5"/>
      <c r="R239" s="327">
        <v>42</v>
      </c>
      <c r="S239" s="206" t="s">
        <v>449</v>
      </c>
      <c r="T239" s="207"/>
      <c r="U239" s="220"/>
      <c r="V239" s="42">
        <f t="shared" si="20"/>
        <v>239</v>
      </c>
      <c r="W239" s="188" t="str">
        <f t="shared" si="24"/>
        <v>✔</v>
      </c>
      <c r="Y239" s="155"/>
      <c r="Z239" s="233">
        <v>0</v>
      </c>
      <c r="AA239" s="233">
        <v>220</v>
      </c>
    </row>
    <row r="240" spans="1:27" ht="20.100000000000001" customHeight="1" thickBot="1">
      <c r="A240" s="305"/>
      <c r="B240" s="306"/>
      <c r="C240" s="307"/>
      <c r="D240" s="302" t="s">
        <v>469</v>
      </c>
      <c r="F240" s="181"/>
      <c r="G240" s="181"/>
      <c r="H240" s="181"/>
      <c r="I240" s="182" t="s">
        <v>462</v>
      </c>
      <c r="J240" s="300"/>
      <c r="K240" s="308"/>
      <c r="L240" s="5"/>
      <c r="M240" s="5"/>
      <c r="N240" s="5"/>
      <c r="O240" s="5"/>
      <c r="P240" s="5"/>
      <c r="Q240" s="5"/>
      <c r="R240" s="309"/>
      <c r="S240" s="206"/>
      <c r="T240" s="207"/>
      <c r="U240" s="220"/>
      <c r="V240" s="42">
        <f t="shared" si="20"/>
        <v>240</v>
      </c>
      <c r="Y240" s="155"/>
      <c r="Z240" s="181"/>
      <c r="AA240" s="181"/>
    </row>
    <row r="241" spans="1:27" ht="20.100000000000001" customHeight="1" thickBot="1">
      <c r="A241" s="305"/>
      <c r="B241" s="306"/>
      <c r="C241" s="307"/>
      <c r="D241" s="310"/>
      <c r="E241" s="311" t="s">
        <v>470</v>
      </c>
      <c r="F241" s="206"/>
      <c r="G241" s="206"/>
      <c r="H241" s="206"/>
      <c r="I241" s="208" t="s">
        <v>462</v>
      </c>
      <c r="J241" s="312"/>
      <c r="K241" s="308"/>
      <c r="L241" s="5"/>
      <c r="M241" s="5"/>
      <c r="N241" s="5"/>
      <c r="O241" s="5"/>
      <c r="P241" s="5"/>
      <c r="Q241" s="5"/>
      <c r="R241" s="327">
        <v>81</v>
      </c>
      <c r="S241" s="206" t="s">
        <v>449</v>
      </c>
      <c r="T241" s="207"/>
      <c r="U241" s="220"/>
      <c r="V241" s="42">
        <f t="shared" si="20"/>
        <v>241</v>
      </c>
      <c r="W241" s="188" t="str">
        <f t="shared" ref="W241:W245" si="26">IF(R241="","未入力あり","✔")</f>
        <v>✔</v>
      </c>
      <c r="Y241" s="155"/>
      <c r="Z241" s="233">
        <v>0</v>
      </c>
      <c r="AA241" s="233">
        <v>540</v>
      </c>
    </row>
    <row r="242" spans="1:27" ht="20.100000000000001" customHeight="1" thickBot="1">
      <c r="A242" s="305"/>
      <c r="B242" s="306"/>
      <c r="C242" s="307"/>
      <c r="D242" s="310"/>
      <c r="E242" s="311" t="s">
        <v>471</v>
      </c>
      <c r="F242" s="206"/>
      <c r="G242" s="206"/>
      <c r="H242" s="206"/>
      <c r="I242" s="208" t="s">
        <v>462</v>
      </c>
      <c r="J242" s="312"/>
      <c r="K242" s="308"/>
      <c r="L242" s="5"/>
      <c r="M242" s="5"/>
      <c r="N242" s="5"/>
      <c r="O242" s="5"/>
      <c r="P242" s="5"/>
      <c r="Q242" s="5"/>
      <c r="R242" s="327">
        <v>0</v>
      </c>
      <c r="S242" s="206" t="s">
        <v>449</v>
      </c>
      <c r="T242" s="207"/>
      <c r="U242" s="220"/>
      <c r="V242" s="42">
        <f t="shared" si="20"/>
        <v>242</v>
      </c>
      <c r="W242" s="188" t="str">
        <f t="shared" si="26"/>
        <v>✔</v>
      </c>
      <c r="Y242" s="155"/>
      <c r="Z242" s="233">
        <v>0</v>
      </c>
      <c r="AA242" s="233">
        <v>10</v>
      </c>
    </row>
    <row r="243" spans="1:27" ht="20.100000000000001" customHeight="1" thickBot="1">
      <c r="A243" s="305"/>
      <c r="B243" s="306"/>
      <c r="C243" s="307"/>
      <c r="D243" s="310"/>
      <c r="E243" s="311" t="s">
        <v>472</v>
      </c>
      <c r="F243" s="206"/>
      <c r="G243" s="206"/>
      <c r="H243" s="206"/>
      <c r="I243" s="208" t="s">
        <v>462</v>
      </c>
      <c r="J243" s="312"/>
      <c r="K243" s="308"/>
      <c r="L243" s="5"/>
      <c r="M243" s="5"/>
      <c r="N243" s="5"/>
      <c r="O243" s="5"/>
      <c r="P243" s="5"/>
      <c r="Q243" s="5"/>
      <c r="R243" s="327">
        <v>2</v>
      </c>
      <c r="S243" s="206" t="s">
        <v>449</v>
      </c>
      <c r="T243" s="207"/>
      <c r="U243" s="220"/>
      <c r="V243" s="42">
        <f t="shared" si="20"/>
        <v>243</v>
      </c>
      <c r="W243" s="188" t="str">
        <f t="shared" si="26"/>
        <v>✔</v>
      </c>
      <c r="Y243" s="155"/>
      <c r="Z243" s="233">
        <v>0</v>
      </c>
      <c r="AA243" s="233">
        <v>40</v>
      </c>
    </row>
    <row r="244" spans="1:27" ht="20.100000000000001" customHeight="1" thickBot="1">
      <c r="A244" s="305"/>
      <c r="B244" s="306"/>
      <c r="C244" s="307"/>
      <c r="D244" s="310"/>
      <c r="E244" s="311" t="s">
        <v>473</v>
      </c>
      <c r="F244" s="206"/>
      <c r="G244" s="206"/>
      <c r="H244" s="206"/>
      <c r="I244" s="208" t="s">
        <v>462</v>
      </c>
      <c r="J244" s="312"/>
      <c r="K244" s="308"/>
      <c r="L244" s="5"/>
      <c r="M244" s="5"/>
      <c r="N244" s="5"/>
      <c r="O244" s="5"/>
      <c r="P244" s="5"/>
      <c r="Q244" s="5"/>
      <c r="R244" s="327">
        <v>0</v>
      </c>
      <c r="S244" s="206" t="s">
        <v>449</v>
      </c>
      <c r="T244" s="207"/>
      <c r="U244" s="220"/>
      <c r="V244" s="42">
        <f t="shared" si="20"/>
        <v>244</v>
      </c>
      <c r="W244" s="188" t="str">
        <f t="shared" si="26"/>
        <v>✔</v>
      </c>
      <c r="Y244" s="155"/>
      <c r="Z244" s="233">
        <v>0</v>
      </c>
      <c r="AA244" s="233">
        <v>200</v>
      </c>
    </row>
    <row r="245" spans="1:27" ht="20.100000000000001" customHeight="1" thickBot="1">
      <c r="A245" s="305"/>
      <c r="B245" s="306"/>
      <c r="C245" s="307"/>
      <c r="D245" s="310"/>
      <c r="E245" s="302" t="s">
        <v>474</v>
      </c>
      <c r="F245" s="274"/>
      <c r="G245" s="274"/>
      <c r="H245" s="275"/>
      <c r="I245" s="275"/>
      <c r="J245" s="313"/>
      <c r="K245" s="308"/>
      <c r="L245" s="5"/>
      <c r="M245" s="5"/>
      <c r="N245" s="5"/>
      <c r="O245" s="5"/>
      <c r="P245" s="5"/>
      <c r="Q245" s="5"/>
      <c r="R245" s="327">
        <v>1</v>
      </c>
      <c r="S245" s="206" t="s">
        <v>449</v>
      </c>
      <c r="T245" s="207"/>
      <c r="U245" s="220"/>
      <c r="V245" s="42">
        <f t="shared" si="20"/>
        <v>245</v>
      </c>
      <c r="W245" s="188" t="str">
        <f t="shared" si="26"/>
        <v>✔</v>
      </c>
      <c r="Y245" s="155"/>
      <c r="Z245" s="233">
        <v>0</v>
      </c>
      <c r="AA245" s="233">
        <v>40</v>
      </c>
    </row>
    <row r="246" spans="1:27" ht="20.100000000000001" customHeight="1" thickBot="1">
      <c r="A246" s="305"/>
      <c r="B246" s="306"/>
      <c r="C246" s="307"/>
      <c r="D246" s="302" t="s">
        <v>475</v>
      </c>
      <c r="F246" s="181"/>
      <c r="G246" s="181"/>
      <c r="H246" s="181"/>
      <c r="I246" s="182"/>
      <c r="J246" s="300"/>
      <c r="K246" s="308"/>
      <c r="L246" s="5"/>
      <c r="M246" s="5"/>
      <c r="N246" s="5"/>
      <c r="O246" s="5"/>
      <c r="P246" s="5"/>
      <c r="Q246" s="5"/>
      <c r="R246" s="309"/>
      <c r="S246" s="206"/>
      <c r="T246" s="207"/>
      <c r="U246" s="220"/>
      <c r="V246" s="42">
        <f t="shared" si="20"/>
        <v>246</v>
      </c>
      <c r="Y246" s="155"/>
      <c r="Z246" s="181"/>
      <c r="AA246" s="181"/>
    </row>
    <row r="247" spans="1:27" ht="20.100000000000001" customHeight="1" thickBot="1">
      <c r="A247" s="305"/>
      <c r="B247" s="306"/>
      <c r="C247" s="307"/>
      <c r="D247" s="310"/>
      <c r="E247" s="1266" t="s">
        <v>476</v>
      </c>
      <c r="F247" s="1267"/>
      <c r="G247" s="1267"/>
      <c r="H247" s="1267"/>
      <c r="I247" s="1267"/>
      <c r="J247" s="1268"/>
      <c r="K247" s="308"/>
      <c r="L247" s="5"/>
      <c r="M247" s="5"/>
      <c r="N247" s="5"/>
      <c r="O247" s="5"/>
      <c r="P247" s="5"/>
      <c r="Q247" s="5"/>
      <c r="R247" s="327">
        <v>0</v>
      </c>
      <c r="S247" s="206" t="s">
        <v>449</v>
      </c>
      <c r="T247" s="207"/>
      <c r="U247" s="220"/>
      <c r="V247" s="42">
        <f t="shared" si="20"/>
        <v>247</v>
      </c>
      <c r="W247" s="188" t="str">
        <f t="shared" ref="W247:W248" si="27">IF(R247="","未入力あり","✔")</f>
        <v>✔</v>
      </c>
      <c r="Y247" s="155"/>
      <c r="Z247" s="233">
        <v>0</v>
      </c>
      <c r="AA247" s="230">
        <v>200</v>
      </c>
    </row>
    <row r="248" spans="1:27" ht="20.100000000000001" customHeight="1" thickBot="1">
      <c r="A248" s="305"/>
      <c r="B248" s="306"/>
      <c r="C248" s="307"/>
      <c r="D248" s="310"/>
      <c r="E248" s="311" t="s">
        <v>477</v>
      </c>
      <c r="F248" s="206"/>
      <c r="G248" s="206"/>
      <c r="H248" s="206"/>
      <c r="I248" s="208"/>
      <c r="J248" s="312"/>
      <c r="K248" s="308"/>
      <c r="L248" s="5"/>
      <c r="M248" s="5"/>
      <c r="N248" s="5"/>
      <c r="O248" s="5"/>
      <c r="P248" s="5"/>
      <c r="Q248" s="5"/>
      <c r="R248" s="327">
        <v>20</v>
      </c>
      <c r="S248" s="206" t="s">
        <v>449</v>
      </c>
      <c r="T248" s="207"/>
      <c r="U248" s="220"/>
      <c r="V248" s="42">
        <f t="shared" si="20"/>
        <v>248</v>
      </c>
      <c r="W248" s="188" t="str">
        <f t="shared" si="27"/>
        <v>✔</v>
      </c>
      <c r="Y248" s="155"/>
      <c r="Z248" s="233">
        <v>0</v>
      </c>
      <c r="AA248" s="230">
        <v>200</v>
      </c>
    </row>
    <row r="249" spans="1:27" ht="20.100000000000001" customHeight="1" thickBot="1">
      <c r="A249" s="305"/>
      <c r="B249" s="306"/>
      <c r="C249" s="307"/>
      <c r="D249" s="310"/>
      <c r="E249" s="311" t="s">
        <v>478</v>
      </c>
      <c r="F249" s="206"/>
      <c r="G249" s="206"/>
      <c r="H249" s="206"/>
      <c r="I249" s="208"/>
      <c r="J249" s="312"/>
      <c r="K249" s="308"/>
      <c r="L249" s="5"/>
      <c r="M249" s="5"/>
      <c r="N249" s="5"/>
      <c r="O249" s="5"/>
      <c r="P249" s="5"/>
      <c r="Q249" s="5"/>
      <c r="R249" s="327">
        <v>19</v>
      </c>
      <c r="S249" s="206" t="s">
        <v>449</v>
      </c>
      <c r="T249" s="207"/>
      <c r="U249" s="220"/>
      <c r="V249" s="42">
        <f t="shared" si="20"/>
        <v>249</v>
      </c>
      <c r="W249" s="188" t="str">
        <f t="shared" ref="W249" si="28">IF(R249="","未入力あり","✔")</f>
        <v>✔</v>
      </c>
      <c r="Y249" s="155"/>
      <c r="Z249" s="233">
        <v>0</v>
      </c>
      <c r="AA249" s="230">
        <v>200</v>
      </c>
    </row>
    <row r="250" spans="1:27" ht="20.100000000000001" customHeight="1" thickBot="1">
      <c r="A250" s="305"/>
      <c r="B250" s="306"/>
      <c r="C250" s="307"/>
      <c r="D250" s="302" t="s">
        <v>479</v>
      </c>
      <c r="E250" s="274"/>
      <c r="F250" s="274"/>
      <c r="G250" s="274"/>
      <c r="H250" s="274"/>
      <c r="I250" s="275" t="s">
        <v>462</v>
      </c>
      <c r="J250" s="303"/>
      <c r="K250" s="308"/>
      <c r="L250" s="5"/>
      <c r="M250" s="5"/>
      <c r="N250" s="5"/>
      <c r="O250" s="5"/>
      <c r="P250" s="5"/>
      <c r="Q250" s="5"/>
      <c r="R250" s="309"/>
      <c r="S250" s="206"/>
      <c r="T250" s="207"/>
      <c r="U250" s="220"/>
      <c r="V250" s="42">
        <f t="shared" si="20"/>
        <v>250</v>
      </c>
      <c r="Y250" s="155"/>
      <c r="Z250" s="181"/>
      <c r="AA250" s="181"/>
    </row>
    <row r="251" spans="1:27" ht="20.100000000000001" customHeight="1" thickBot="1">
      <c r="A251" s="305"/>
      <c r="B251" s="306"/>
      <c r="C251" s="307"/>
      <c r="D251" s="318"/>
      <c r="E251" s="311" t="s">
        <v>480</v>
      </c>
      <c r="F251" s="206"/>
      <c r="G251" s="206"/>
      <c r="H251" s="206"/>
      <c r="I251" s="208"/>
      <c r="J251" s="312"/>
      <c r="K251" s="308"/>
      <c r="L251" s="5"/>
      <c r="M251" s="5"/>
      <c r="N251" s="5"/>
      <c r="O251" s="5"/>
      <c r="P251" s="5"/>
      <c r="Q251" s="5"/>
      <c r="R251" s="327">
        <v>6</v>
      </c>
      <c r="S251" s="206" t="s">
        <v>449</v>
      </c>
      <c r="T251" s="207"/>
      <c r="U251" s="220"/>
      <c r="V251" s="42">
        <f t="shared" si="20"/>
        <v>251</v>
      </c>
      <c r="W251" s="188" t="str">
        <f t="shared" ref="W251:W255" si="29">IF(R251="","未入力あり","✔")</f>
        <v>✔</v>
      </c>
      <c r="Y251" s="155"/>
      <c r="Z251" s="233">
        <v>0</v>
      </c>
      <c r="AA251" s="233">
        <v>70</v>
      </c>
    </row>
    <row r="252" spans="1:27" ht="20.100000000000001" customHeight="1" thickBot="1">
      <c r="A252" s="305"/>
      <c r="B252" s="306"/>
      <c r="C252" s="307"/>
      <c r="D252" s="318"/>
      <c r="E252" s="311" t="s">
        <v>481</v>
      </c>
      <c r="F252" s="206"/>
      <c r="G252" s="206"/>
      <c r="H252" s="206"/>
      <c r="I252" s="208"/>
      <c r="J252" s="312"/>
      <c r="K252" s="308"/>
      <c r="L252" s="5"/>
      <c r="M252" s="5"/>
      <c r="N252" s="5"/>
      <c r="O252" s="5"/>
      <c r="P252" s="5"/>
      <c r="Q252" s="5"/>
      <c r="R252" s="327">
        <v>1</v>
      </c>
      <c r="S252" s="206" t="s">
        <v>449</v>
      </c>
      <c r="T252" s="207"/>
      <c r="U252" s="220"/>
      <c r="V252" s="42">
        <f t="shared" si="20"/>
        <v>252</v>
      </c>
      <c r="W252" s="188" t="str">
        <f t="shared" si="29"/>
        <v>✔</v>
      </c>
      <c r="Y252" s="155"/>
      <c r="Z252" s="233">
        <v>0</v>
      </c>
      <c r="AA252" s="233">
        <v>60</v>
      </c>
    </row>
    <row r="253" spans="1:27" ht="20.100000000000001" customHeight="1" thickBot="1">
      <c r="A253" s="305"/>
      <c r="B253" s="306"/>
      <c r="C253" s="307"/>
      <c r="D253" s="318"/>
      <c r="E253" s="311" t="s">
        <v>456</v>
      </c>
      <c r="F253" s="206" t="s">
        <v>457</v>
      </c>
      <c r="G253" s="206"/>
      <c r="H253" s="206"/>
      <c r="I253" s="208"/>
      <c r="J253" s="312"/>
      <c r="K253" s="308"/>
      <c r="L253" s="5"/>
      <c r="M253" s="5"/>
      <c r="N253" s="5"/>
      <c r="O253" s="5"/>
      <c r="P253" s="5"/>
      <c r="Q253" s="5"/>
      <c r="R253" s="327">
        <v>0</v>
      </c>
      <c r="S253" s="206" t="s">
        <v>449</v>
      </c>
      <c r="T253" s="207"/>
      <c r="U253" s="220"/>
      <c r="V253" s="42">
        <f t="shared" si="20"/>
        <v>253</v>
      </c>
      <c r="W253" s="188" t="str">
        <f t="shared" ref="W253" si="30">IF(R253="","未入力あり","✔")</f>
        <v>✔</v>
      </c>
      <c r="Y253" s="155"/>
      <c r="Z253" s="233">
        <v>0</v>
      </c>
      <c r="AA253" s="230">
        <v>50</v>
      </c>
    </row>
    <row r="254" spans="1:27" ht="20.100000000000001" customHeight="1" thickBot="1">
      <c r="A254" s="305"/>
      <c r="B254" s="306"/>
      <c r="C254" s="307"/>
      <c r="D254" s="318"/>
      <c r="E254" s="311" t="s">
        <v>482</v>
      </c>
      <c r="F254" s="206"/>
      <c r="G254" s="206"/>
      <c r="H254" s="206"/>
      <c r="I254" s="208"/>
      <c r="J254" s="312"/>
      <c r="K254" s="308"/>
      <c r="L254" s="5"/>
      <c r="M254" s="5"/>
      <c r="N254" s="5"/>
      <c r="O254" s="5"/>
      <c r="P254" s="5"/>
      <c r="Q254" s="5"/>
      <c r="R254" s="327">
        <v>18</v>
      </c>
      <c r="S254" s="206" t="s">
        <v>449</v>
      </c>
      <c r="T254" s="207"/>
      <c r="U254" s="220"/>
      <c r="V254" s="42">
        <f t="shared" si="20"/>
        <v>254</v>
      </c>
      <c r="W254" s="188" t="str">
        <f t="shared" si="29"/>
        <v>✔</v>
      </c>
      <c r="Y254" s="155"/>
      <c r="Z254" s="233">
        <v>0</v>
      </c>
      <c r="AA254" s="233">
        <v>70</v>
      </c>
    </row>
    <row r="255" spans="1:27" ht="20.100000000000001" customHeight="1" thickBot="1">
      <c r="A255" s="305"/>
      <c r="B255" s="306"/>
      <c r="C255" s="307"/>
      <c r="D255" s="315"/>
      <c r="E255" s="311" t="s">
        <v>483</v>
      </c>
      <c r="F255" s="206"/>
      <c r="G255" s="206"/>
      <c r="H255" s="206"/>
      <c r="I255" s="208"/>
      <c r="J255" s="312"/>
      <c r="K255" s="308"/>
      <c r="L255" s="5"/>
      <c r="M255" s="5"/>
      <c r="N255" s="5"/>
      <c r="O255" s="5"/>
      <c r="P255" s="5"/>
      <c r="Q255" s="5"/>
      <c r="R255" s="327">
        <v>1</v>
      </c>
      <c r="S255" s="206" t="s">
        <v>449</v>
      </c>
      <c r="T255" s="207"/>
      <c r="U255" s="220"/>
      <c r="V255" s="42">
        <f t="shared" si="20"/>
        <v>255</v>
      </c>
      <c r="W255" s="188" t="str">
        <f t="shared" si="29"/>
        <v>✔</v>
      </c>
      <c r="Y255" s="155"/>
      <c r="Z255" s="233">
        <v>0</v>
      </c>
      <c r="AA255" s="233">
        <v>140</v>
      </c>
    </row>
    <row r="256" spans="1:27" ht="20.100000000000001" customHeight="1" thickBot="1">
      <c r="A256" s="305"/>
      <c r="B256" s="306"/>
      <c r="C256" s="307"/>
      <c r="D256" s="302" t="s">
        <v>484</v>
      </c>
      <c r="F256" s="181"/>
      <c r="G256" s="181"/>
      <c r="H256" s="181"/>
      <c r="I256" s="182"/>
      <c r="J256" s="300"/>
      <c r="K256" s="308"/>
      <c r="L256" s="5"/>
      <c r="M256" s="5"/>
      <c r="N256" s="5"/>
      <c r="O256" s="5"/>
      <c r="P256" s="5"/>
      <c r="Q256" s="5"/>
      <c r="R256" s="309"/>
      <c r="S256" s="206"/>
      <c r="T256" s="207"/>
      <c r="U256" s="220"/>
      <c r="V256" s="42">
        <f t="shared" si="20"/>
        <v>256</v>
      </c>
      <c r="Y256" s="155"/>
      <c r="Z256" s="181"/>
      <c r="AA256" s="181"/>
    </row>
    <row r="257" spans="1:27" ht="20.100000000000001" customHeight="1" thickBot="1">
      <c r="A257" s="305"/>
      <c r="B257" s="306"/>
      <c r="C257" s="307"/>
      <c r="D257" s="310"/>
      <c r="E257" s="1266" t="s">
        <v>485</v>
      </c>
      <c r="F257" s="1267"/>
      <c r="G257" s="1267"/>
      <c r="H257" s="1267"/>
      <c r="I257" s="1267"/>
      <c r="J257" s="1268"/>
      <c r="K257" s="308"/>
      <c r="L257" s="5"/>
      <c r="M257" s="5"/>
      <c r="N257" s="5"/>
      <c r="O257" s="5"/>
      <c r="P257" s="5"/>
      <c r="Q257" s="5"/>
      <c r="R257" s="327">
        <v>2</v>
      </c>
      <c r="S257" s="206" t="s">
        <v>449</v>
      </c>
      <c r="T257" s="207"/>
      <c r="U257" s="220"/>
      <c r="V257" s="42">
        <f t="shared" si="20"/>
        <v>257</v>
      </c>
      <c r="W257" s="188" t="str">
        <f t="shared" ref="W257:W258" si="31">IF(R257="","未入力あり","✔")</f>
        <v>✔</v>
      </c>
      <c r="Y257" s="155"/>
      <c r="Z257" s="233">
        <v>0</v>
      </c>
      <c r="AA257" s="230">
        <v>100</v>
      </c>
    </row>
    <row r="258" spans="1:27" ht="20.100000000000001" customHeight="1" thickBot="1">
      <c r="A258" s="305"/>
      <c r="B258" s="306"/>
      <c r="C258" s="307"/>
      <c r="D258" s="310"/>
      <c r="E258" s="311" t="s">
        <v>486</v>
      </c>
      <c r="F258" s="206"/>
      <c r="G258" s="206"/>
      <c r="H258" s="206"/>
      <c r="I258" s="208"/>
      <c r="J258" s="312"/>
      <c r="K258" s="308"/>
      <c r="L258" s="5"/>
      <c r="M258" s="5"/>
      <c r="N258" s="5"/>
      <c r="O258" s="5"/>
      <c r="P258" s="5"/>
      <c r="Q258" s="5"/>
      <c r="R258" s="327">
        <v>1</v>
      </c>
      <c r="S258" s="206" t="s">
        <v>449</v>
      </c>
      <c r="T258" s="207"/>
      <c r="U258" s="220"/>
      <c r="V258" s="42">
        <f t="shared" si="20"/>
        <v>258</v>
      </c>
      <c r="W258" s="188" t="str">
        <f t="shared" si="31"/>
        <v>✔</v>
      </c>
      <c r="Y258" s="155"/>
      <c r="Z258" s="233">
        <v>0</v>
      </c>
      <c r="AA258" s="230">
        <v>100</v>
      </c>
    </row>
    <row r="259" spans="1:27" ht="20.100000000000001" customHeight="1" thickBot="1">
      <c r="A259" s="305"/>
      <c r="B259" s="306"/>
      <c r="C259" s="307"/>
      <c r="D259" s="302" t="s">
        <v>487</v>
      </c>
      <c r="F259" s="181"/>
      <c r="G259" s="181"/>
      <c r="H259" s="181"/>
      <c r="I259" s="182"/>
      <c r="J259" s="300"/>
      <c r="K259" s="308"/>
      <c r="L259" s="5"/>
      <c r="M259" s="5"/>
      <c r="N259" s="5"/>
      <c r="O259" s="5"/>
      <c r="P259" s="5"/>
      <c r="Q259" s="5"/>
      <c r="R259" s="309"/>
      <c r="S259" s="206"/>
      <c r="T259" s="207"/>
      <c r="U259" s="220"/>
      <c r="V259" s="42">
        <f t="shared" si="20"/>
        <v>259</v>
      </c>
      <c r="Y259" s="155"/>
      <c r="Z259" s="181"/>
      <c r="AA259" s="181"/>
    </row>
    <row r="260" spans="1:27" ht="20.100000000000001" customHeight="1" thickBot="1">
      <c r="A260" s="305"/>
      <c r="B260" s="306"/>
      <c r="C260" s="307"/>
      <c r="D260" s="310"/>
      <c r="E260" s="1266" t="s">
        <v>488</v>
      </c>
      <c r="F260" s="1267"/>
      <c r="G260" s="1267"/>
      <c r="H260" s="1267"/>
      <c r="I260" s="1267"/>
      <c r="J260" s="1268"/>
      <c r="K260" s="308"/>
      <c r="L260" s="5"/>
      <c r="M260" s="5"/>
      <c r="N260" s="5"/>
      <c r="O260" s="5"/>
      <c r="P260" s="5"/>
      <c r="Q260" s="5"/>
      <c r="R260" s="327">
        <v>1</v>
      </c>
      <c r="S260" s="206" t="s">
        <v>449</v>
      </c>
      <c r="T260" s="207"/>
      <c r="U260" s="220"/>
      <c r="V260" s="42">
        <f t="shared" si="20"/>
        <v>260</v>
      </c>
      <c r="W260" s="188" t="str">
        <f t="shared" ref="W260" si="32">IF(R260="","未入力あり","✔")</f>
        <v>✔</v>
      </c>
      <c r="Y260" s="155"/>
      <c r="Z260" s="233">
        <v>0</v>
      </c>
      <c r="AA260" s="230">
        <v>150</v>
      </c>
    </row>
    <row r="261" spans="1:27" ht="20.100000000000001" customHeight="1" thickBot="1">
      <c r="A261" s="305"/>
      <c r="B261" s="306"/>
      <c r="C261" s="307"/>
      <c r="D261" s="302" t="s">
        <v>489</v>
      </c>
      <c r="F261" s="181"/>
      <c r="G261" s="181"/>
      <c r="H261" s="181"/>
      <c r="I261" s="182"/>
      <c r="J261" s="300"/>
      <c r="K261" s="308"/>
      <c r="L261" s="5"/>
      <c r="M261" s="5"/>
      <c r="N261" s="5"/>
      <c r="O261" s="5"/>
      <c r="P261" s="5"/>
      <c r="Q261" s="5"/>
      <c r="R261" s="309"/>
      <c r="S261" s="206"/>
      <c r="T261" s="207"/>
      <c r="U261" s="220"/>
      <c r="V261" s="42">
        <f t="shared" si="20"/>
        <v>261</v>
      </c>
      <c r="Y261" s="155"/>
      <c r="Z261" s="181"/>
      <c r="AA261" s="181"/>
    </row>
    <row r="262" spans="1:27" ht="20.100000000000001" customHeight="1" thickBot="1">
      <c r="A262" s="305"/>
      <c r="B262" s="306"/>
      <c r="C262" s="307"/>
      <c r="D262" s="310"/>
      <c r="E262" s="1266" t="s">
        <v>490</v>
      </c>
      <c r="F262" s="1267"/>
      <c r="G262" s="1267"/>
      <c r="H262" s="1267"/>
      <c r="I262" s="1267"/>
      <c r="J262" s="1268"/>
      <c r="K262" s="308"/>
      <c r="L262" s="5"/>
      <c r="M262" s="5"/>
      <c r="N262" s="5"/>
      <c r="O262" s="5"/>
      <c r="P262" s="5"/>
      <c r="Q262" s="5"/>
      <c r="R262" s="327">
        <v>5</v>
      </c>
      <c r="S262" s="206" t="s">
        <v>449</v>
      </c>
      <c r="T262" s="207"/>
      <c r="U262" s="220"/>
      <c r="V262" s="42">
        <f t="shared" si="20"/>
        <v>262</v>
      </c>
      <c r="W262" s="188" t="str">
        <f t="shared" ref="W262:W263" si="33">IF(R262="","未入力あり","✔")</f>
        <v>✔</v>
      </c>
      <c r="Y262" s="155"/>
      <c r="Z262" s="233">
        <v>0</v>
      </c>
      <c r="AA262" s="230">
        <v>300</v>
      </c>
    </row>
    <row r="263" spans="1:27" ht="20.100000000000001" customHeight="1" thickBot="1">
      <c r="A263" s="305"/>
      <c r="B263" s="306"/>
      <c r="C263" s="307"/>
      <c r="D263" s="310"/>
      <c r="E263" s="311" t="s">
        <v>491</v>
      </c>
      <c r="F263" s="206"/>
      <c r="G263" s="206"/>
      <c r="H263" s="206"/>
      <c r="I263" s="208"/>
      <c r="J263" s="312"/>
      <c r="K263" s="308"/>
      <c r="L263" s="5"/>
      <c r="M263" s="5"/>
      <c r="N263" s="5"/>
      <c r="O263" s="5"/>
      <c r="P263" s="5"/>
      <c r="Q263" s="5"/>
      <c r="R263" s="327">
        <v>0</v>
      </c>
      <c r="S263" s="206" t="s">
        <v>449</v>
      </c>
      <c r="T263" s="207"/>
      <c r="U263" s="220"/>
      <c r="V263" s="42">
        <f t="shared" si="20"/>
        <v>263</v>
      </c>
      <c r="W263" s="188" t="str">
        <f t="shared" si="33"/>
        <v>✔</v>
      </c>
      <c r="Y263" s="155"/>
      <c r="Z263" s="233">
        <v>0</v>
      </c>
      <c r="AA263" s="230">
        <v>300</v>
      </c>
    </row>
    <row r="264" spans="1:27" ht="20.100000000000001" customHeight="1" thickBot="1">
      <c r="A264" s="305"/>
      <c r="B264" s="306"/>
      <c r="C264" s="307"/>
      <c r="D264" s="310"/>
      <c r="E264" s="311"/>
      <c r="F264" s="206" t="s">
        <v>492</v>
      </c>
      <c r="G264" s="206"/>
      <c r="H264" s="206"/>
      <c r="I264" s="208"/>
      <c r="J264" s="312"/>
      <c r="K264" s="308"/>
      <c r="L264" s="5"/>
      <c r="M264" s="5"/>
      <c r="N264" s="5"/>
      <c r="O264" s="5"/>
      <c r="P264" s="5"/>
      <c r="Q264" s="5"/>
      <c r="R264" s="327">
        <v>0</v>
      </c>
      <c r="S264" s="206" t="s">
        <v>449</v>
      </c>
      <c r="T264" s="207"/>
      <c r="U264" s="220"/>
      <c r="V264" s="42">
        <f t="shared" si="20"/>
        <v>264</v>
      </c>
      <c r="W264" s="188" t="str">
        <f t="shared" ref="W264" si="34">IF(R264="","未入力あり","✔")</f>
        <v>✔</v>
      </c>
      <c r="Y264" s="155"/>
      <c r="Z264" s="233">
        <v>0</v>
      </c>
      <c r="AA264" s="230">
        <v>100</v>
      </c>
    </row>
    <row r="265" spans="1:27" ht="20.100000000000001" customHeight="1">
      <c r="A265" s="305"/>
      <c r="B265" s="319" t="s">
        <v>493</v>
      </c>
      <c r="C265" s="304"/>
      <c r="D265" s="274"/>
      <c r="E265" s="274"/>
      <c r="F265" s="274"/>
      <c r="G265" s="274"/>
      <c r="H265" s="275"/>
      <c r="I265" s="275"/>
      <c r="J265" s="303"/>
      <c r="K265" s="304"/>
      <c r="L265" s="276"/>
      <c r="M265" s="276"/>
      <c r="N265" s="276"/>
      <c r="O265" s="276"/>
      <c r="P265" s="276"/>
      <c r="Q265" s="276"/>
      <c r="R265" s="320"/>
      <c r="S265" s="274"/>
      <c r="T265" s="273"/>
      <c r="U265" s="321"/>
      <c r="V265" s="42">
        <f t="shared" si="20"/>
        <v>265</v>
      </c>
      <c r="Y265" s="155"/>
      <c r="Z265" s="181"/>
      <c r="AA265" s="181"/>
    </row>
    <row r="266" spans="1:27" ht="20.100000000000001" customHeight="1">
      <c r="A266" s="305"/>
      <c r="B266" s="319" t="s">
        <v>494</v>
      </c>
      <c r="C266" s="304"/>
      <c r="D266" s="274"/>
      <c r="E266" s="274"/>
      <c r="F266" s="274"/>
      <c r="G266" s="274"/>
      <c r="H266" s="275"/>
      <c r="I266" s="275"/>
      <c r="J266" s="303"/>
      <c r="K266" s="308"/>
      <c r="L266" s="5"/>
      <c r="M266" s="5"/>
      <c r="N266" s="5"/>
      <c r="O266" s="5"/>
      <c r="P266" s="5"/>
      <c r="Q266" s="5"/>
      <c r="R266" s="322"/>
      <c r="S266" s="206"/>
      <c r="T266" s="207"/>
      <c r="U266" s="220"/>
      <c r="V266" s="42">
        <f t="shared" si="20"/>
        <v>266</v>
      </c>
      <c r="Y266" s="155"/>
      <c r="Z266" s="181"/>
      <c r="AA266" s="181"/>
    </row>
    <row r="267" spans="1:27" ht="20.100000000000001" customHeight="1" thickBot="1">
      <c r="A267" s="305"/>
      <c r="B267" s="306"/>
      <c r="C267" s="302" t="s">
        <v>1740</v>
      </c>
      <c r="D267" s="274"/>
      <c r="E267" s="274"/>
      <c r="F267" s="274"/>
      <c r="G267" s="274"/>
      <c r="H267" s="275"/>
      <c r="I267" s="275"/>
      <c r="J267" s="303"/>
      <c r="K267" s="308"/>
      <c r="L267" s="5"/>
      <c r="M267" s="5"/>
      <c r="N267" s="5"/>
      <c r="O267" s="5"/>
      <c r="P267" s="5"/>
      <c r="Q267" s="5"/>
      <c r="R267" s="323"/>
      <c r="S267" s="206"/>
      <c r="T267" s="207"/>
      <c r="U267" s="220"/>
      <c r="V267" s="42">
        <f t="shared" si="20"/>
        <v>267</v>
      </c>
      <c r="Y267" s="155"/>
      <c r="Z267" s="181"/>
      <c r="AA267" s="181"/>
    </row>
    <row r="268" spans="1:27" ht="20.100000000000001" customHeight="1" thickBot="1">
      <c r="A268" s="305"/>
      <c r="B268" s="306"/>
      <c r="C268" s="318"/>
      <c r="D268" s="302" t="s">
        <v>495</v>
      </c>
      <c r="E268" s="274"/>
      <c r="F268" s="274"/>
      <c r="G268" s="274"/>
      <c r="H268" s="275"/>
      <c r="I268" s="275"/>
      <c r="J268" s="313"/>
      <c r="K268" s="308"/>
      <c r="L268" s="5"/>
      <c r="M268" s="5"/>
      <c r="N268" s="5"/>
      <c r="O268" s="5"/>
      <c r="P268" s="5"/>
      <c r="Q268" s="5"/>
      <c r="R268" s="327">
        <v>228</v>
      </c>
      <c r="S268" s="206" t="s">
        <v>379</v>
      </c>
      <c r="T268" s="207"/>
      <c r="U268" s="220"/>
      <c r="V268" s="42">
        <f t="shared" si="20"/>
        <v>268</v>
      </c>
      <c r="W268" s="188" t="str">
        <f t="shared" ref="W268:W274" si="35">IF(R268="","未入力あり","✔")</f>
        <v>✔</v>
      </c>
      <c r="Y268" s="155"/>
      <c r="Z268" s="233">
        <v>0</v>
      </c>
      <c r="AA268" s="233">
        <v>2400</v>
      </c>
    </row>
    <row r="269" spans="1:27" ht="20.100000000000001" customHeight="1" thickBot="1">
      <c r="A269" s="305"/>
      <c r="B269" s="306"/>
      <c r="C269" s="318"/>
      <c r="D269" s="298"/>
      <c r="E269" s="311" t="s">
        <v>496</v>
      </c>
      <c r="F269" s="206"/>
      <c r="G269" s="206"/>
      <c r="H269" s="208"/>
      <c r="I269" s="208"/>
      <c r="J269" s="312"/>
      <c r="K269" s="308"/>
      <c r="L269" s="5"/>
      <c r="M269" s="5"/>
      <c r="N269" s="5"/>
      <c r="O269" s="5"/>
      <c r="P269" s="5"/>
      <c r="Q269" s="5"/>
      <c r="R269" s="327">
        <v>9</v>
      </c>
      <c r="S269" s="206" t="s">
        <v>379</v>
      </c>
      <c r="T269" s="207"/>
      <c r="U269" s="220"/>
      <c r="V269" s="42">
        <f t="shared" si="20"/>
        <v>269</v>
      </c>
      <c r="W269" s="188" t="str">
        <f t="shared" si="35"/>
        <v>✔</v>
      </c>
      <c r="Y269" s="155"/>
      <c r="Z269" s="233">
        <v>0</v>
      </c>
      <c r="AA269" s="233">
        <v>200</v>
      </c>
    </row>
    <row r="270" spans="1:27" ht="20.100000000000001" customHeight="1" thickBot="1">
      <c r="A270" s="305"/>
      <c r="B270" s="306"/>
      <c r="C270" s="318"/>
      <c r="D270" s="298"/>
      <c r="E270" s="311" t="s">
        <v>497</v>
      </c>
      <c r="F270" s="206"/>
      <c r="G270" s="206"/>
      <c r="H270" s="208"/>
      <c r="I270" s="208"/>
      <c r="J270" s="312"/>
      <c r="K270" s="308"/>
      <c r="L270" s="5"/>
      <c r="M270" s="5"/>
      <c r="N270" s="5"/>
      <c r="O270" s="5"/>
      <c r="P270" s="5"/>
      <c r="Q270" s="5"/>
      <c r="R270" s="327">
        <v>25</v>
      </c>
      <c r="S270" s="206" t="s">
        <v>379</v>
      </c>
      <c r="T270" s="207"/>
      <c r="U270" s="220"/>
      <c r="V270" s="42">
        <f t="shared" si="20"/>
        <v>270</v>
      </c>
      <c r="W270" s="188" t="str">
        <f t="shared" si="35"/>
        <v>✔</v>
      </c>
      <c r="Y270" s="155"/>
      <c r="Z270" s="233">
        <v>0</v>
      </c>
      <c r="AA270" s="233">
        <v>150</v>
      </c>
    </row>
    <row r="271" spans="1:27" ht="20.100000000000001" customHeight="1" thickBot="1">
      <c r="A271" s="305"/>
      <c r="B271" s="306"/>
      <c r="C271" s="318"/>
      <c r="D271" s="298"/>
      <c r="E271" s="311" t="s">
        <v>498</v>
      </c>
      <c r="F271" s="206"/>
      <c r="G271" s="206"/>
      <c r="H271" s="208"/>
      <c r="I271" s="208"/>
      <c r="J271" s="312"/>
      <c r="K271" s="308"/>
      <c r="L271" s="5"/>
      <c r="M271" s="5"/>
      <c r="N271" s="5"/>
      <c r="O271" s="5"/>
      <c r="P271" s="5"/>
      <c r="Q271" s="5"/>
      <c r="R271" s="327">
        <v>33</v>
      </c>
      <c r="S271" s="206" t="s">
        <v>379</v>
      </c>
      <c r="T271" s="207"/>
      <c r="U271" s="220"/>
      <c r="V271" s="42">
        <f t="shared" si="20"/>
        <v>271</v>
      </c>
      <c r="W271" s="188" t="str">
        <f t="shared" si="35"/>
        <v>✔</v>
      </c>
      <c r="Y271" s="155"/>
      <c r="Z271" s="233">
        <v>0</v>
      </c>
      <c r="AA271" s="233">
        <v>900</v>
      </c>
    </row>
    <row r="272" spans="1:27" ht="20.100000000000001" customHeight="1" thickBot="1">
      <c r="A272" s="305"/>
      <c r="B272" s="306"/>
      <c r="C272" s="318"/>
      <c r="D272" s="324"/>
      <c r="E272" s="311" t="s">
        <v>499</v>
      </c>
      <c r="F272" s="206"/>
      <c r="G272" s="206"/>
      <c r="H272" s="208"/>
      <c r="I272" s="208"/>
      <c r="J272" s="312"/>
      <c r="K272" s="308"/>
      <c r="L272" s="5"/>
      <c r="M272" s="5"/>
      <c r="N272" s="5"/>
      <c r="O272" s="5"/>
      <c r="P272" s="5"/>
      <c r="Q272" s="5"/>
      <c r="R272" s="327">
        <v>0</v>
      </c>
      <c r="S272" s="206" t="s">
        <v>379</v>
      </c>
      <c r="T272" s="207"/>
      <c r="U272" s="220"/>
      <c r="V272" s="42">
        <f t="shared" si="20"/>
        <v>272</v>
      </c>
      <c r="W272" s="188" t="str">
        <f t="shared" si="35"/>
        <v>✔</v>
      </c>
      <c r="Y272" s="155"/>
      <c r="Z272" s="233">
        <v>0</v>
      </c>
      <c r="AA272" s="233">
        <v>200</v>
      </c>
    </row>
    <row r="273" spans="1:27" ht="20.100000000000001" customHeight="1" thickBot="1">
      <c r="A273" s="305"/>
      <c r="B273" s="306"/>
      <c r="C273" s="318"/>
      <c r="D273" s="311" t="s">
        <v>500</v>
      </c>
      <c r="E273" s="206"/>
      <c r="F273" s="206"/>
      <c r="G273" s="206"/>
      <c r="H273" s="208"/>
      <c r="I273" s="208"/>
      <c r="J273" s="312"/>
      <c r="K273" s="308"/>
      <c r="L273" s="5"/>
      <c r="M273" s="5"/>
      <c r="N273" s="5"/>
      <c r="O273" s="5"/>
      <c r="P273" s="5"/>
      <c r="Q273" s="5"/>
      <c r="R273" s="327">
        <v>0</v>
      </c>
      <c r="S273" s="206" t="s">
        <v>379</v>
      </c>
      <c r="T273" s="207"/>
      <c r="U273" s="220"/>
      <c r="V273" s="42">
        <f t="shared" si="20"/>
        <v>273</v>
      </c>
      <c r="W273" s="188" t="str">
        <f t="shared" si="35"/>
        <v>✔</v>
      </c>
      <c r="Y273" s="155"/>
      <c r="Z273" s="233">
        <v>0</v>
      </c>
      <c r="AA273" s="233">
        <v>120</v>
      </c>
    </row>
    <row r="274" spans="1:27" ht="20.100000000000001" customHeight="1" thickBot="1">
      <c r="A274" s="305"/>
      <c r="B274" s="306"/>
      <c r="C274" s="318"/>
      <c r="D274" s="311" t="s">
        <v>501</v>
      </c>
      <c r="E274" s="206"/>
      <c r="F274" s="206"/>
      <c r="G274" s="206"/>
      <c r="H274" s="208"/>
      <c r="I274" s="208"/>
      <c r="J274" s="312"/>
      <c r="K274" s="308"/>
      <c r="L274" s="5"/>
      <c r="M274" s="5"/>
      <c r="N274" s="5"/>
      <c r="O274" s="5"/>
      <c r="P274" s="5"/>
      <c r="Q274" s="5"/>
      <c r="R274" s="327">
        <v>0</v>
      </c>
      <c r="S274" s="206" t="s">
        <v>379</v>
      </c>
      <c r="T274" s="207"/>
      <c r="U274" s="220"/>
      <c r="V274" s="42">
        <f t="shared" si="20"/>
        <v>274</v>
      </c>
      <c r="W274" s="188" t="str">
        <f t="shared" si="35"/>
        <v>✔</v>
      </c>
      <c r="Y274" s="155"/>
      <c r="Z274" s="233">
        <v>0</v>
      </c>
      <c r="AA274" s="233">
        <v>90</v>
      </c>
    </row>
    <row r="275" spans="1:27" ht="20.100000000000001" customHeight="1">
      <c r="A275" s="305"/>
      <c r="B275" s="306"/>
      <c r="C275" s="1147" t="s">
        <v>1741</v>
      </c>
      <c r="D275" s="320"/>
      <c r="E275" s="320"/>
      <c r="F275" s="320"/>
      <c r="H275" s="182"/>
      <c r="I275" s="300"/>
      <c r="J275" s="206"/>
      <c r="K275" s="5"/>
      <c r="L275" s="5"/>
      <c r="M275" s="5"/>
      <c r="N275" s="5"/>
      <c r="O275" s="5"/>
      <c r="P275" s="5"/>
      <c r="Q275" s="5"/>
      <c r="R275" s="325"/>
      <c r="S275" s="206"/>
      <c r="T275" s="207"/>
      <c r="U275" s="220"/>
      <c r="V275" s="42">
        <f t="shared" si="20"/>
        <v>275</v>
      </c>
      <c r="Y275" s="155"/>
      <c r="Z275" s="181"/>
      <c r="AA275" s="181"/>
    </row>
    <row r="276" spans="1:27" ht="20.100000000000001" customHeight="1" thickBot="1">
      <c r="A276" s="305"/>
      <c r="B276" s="306"/>
      <c r="C276" s="1147"/>
      <c r="D276" s="320" t="s">
        <v>502</v>
      </c>
      <c r="E276" s="320"/>
      <c r="F276" s="320"/>
      <c r="H276" s="182"/>
      <c r="I276" s="300"/>
      <c r="J276" s="308"/>
      <c r="K276" s="5"/>
      <c r="L276" s="5"/>
      <c r="M276" s="5"/>
      <c r="N276" s="5"/>
      <c r="O276" s="5"/>
      <c r="P276" s="5"/>
      <c r="Q276" s="5"/>
      <c r="R276" s="323"/>
      <c r="S276" s="206"/>
      <c r="T276" s="207"/>
      <c r="U276" s="220"/>
      <c r="V276" s="42">
        <f t="shared" si="20"/>
        <v>276</v>
      </c>
      <c r="Y276" s="155"/>
      <c r="Z276" s="181"/>
      <c r="AA276" s="181"/>
    </row>
    <row r="277" spans="1:27" ht="20.100000000000001" customHeight="1" thickBot="1">
      <c r="A277" s="305"/>
      <c r="B277" s="306"/>
      <c r="C277" s="1147"/>
      <c r="D277" s="1148" t="s">
        <v>44</v>
      </c>
      <c r="E277" s="928"/>
      <c r="F277" s="928"/>
      <c r="G277" s="208"/>
      <c r="H277" s="208"/>
      <c r="I277" s="312"/>
      <c r="J277" s="308"/>
      <c r="K277" s="5"/>
      <c r="L277" s="5"/>
      <c r="M277" s="5"/>
      <c r="N277" s="5"/>
      <c r="O277" s="5"/>
      <c r="P277" s="5"/>
      <c r="Q277" s="5"/>
      <c r="R277" s="327">
        <v>59</v>
      </c>
      <c r="S277" s="206" t="s">
        <v>379</v>
      </c>
      <c r="T277" s="207"/>
      <c r="U277" s="220"/>
      <c r="V277" s="42">
        <f t="shared" si="20"/>
        <v>277</v>
      </c>
      <c r="W277" s="188" t="str">
        <f t="shared" ref="W277:W283" si="36">IF(R277="","未入力あり","✔")</f>
        <v>✔</v>
      </c>
      <c r="Y277" s="155"/>
      <c r="Z277" s="233">
        <v>0</v>
      </c>
      <c r="AA277" s="233">
        <v>400</v>
      </c>
    </row>
    <row r="278" spans="1:27" ht="20.100000000000001" customHeight="1" thickBot="1">
      <c r="A278" s="305"/>
      <c r="B278" s="306"/>
      <c r="C278" s="1147"/>
      <c r="D278" s="1148" t="s">
        <v>45</v>
      </c>
      <c r="E278" s="928"/>
      <c r="F278" s="928"/>
      <c r="G278" s="208"/>
      <c r="H278" s="208"/>
      <c r="I278" s="312"/>
      <c r="J278" s="308"/>
      <c r="K278" s="5"/>
      <c r="L278" s="5"/>
      <c r="M278" s="5"/>
      <c r="N278" s="5"/>
      <c r="O278" s="5"/>
      <c r="P278" s="5"/>
      <c r="Q278" s="5"/>
      <c r="R278" s="327">
        <v>2</v>
      </c>
      <c r="S278" s="206" t="s">
        <v>379</v>
      </c>
      <c r="T278" s="207"/>
      <c r="U278" s="220"/>
      <c r="V278" s="42">
        <f t="shared" si="20"/>
        <v>278</v>
      </c>
      <c r="W278" s="188" t="str">
        <f t="shared" si="36"/>
        <v>✔</v>
      </c>
      <c r="Y278" s="155"/>
      <c r="Z278" s="233">
        <v>0</v>
      </c>
      <c r="AA278" s="233">
        <v>30</v>
      </c>
    </row>
    <row r="279" spans="1:27" ht="20.100000000000001" customHeight="1" thickBot="1">
      <c r="A279" s="305"/>
      <c r="B279" s="306"/>
      <c r="C279" s="1147"/>
      <c r="D279" s="1148" t="s">
        <v>503</v>
      </c>
      <c r="E279" s="928"/>
      <c r="F279" s="928"/>
      <c r="G279" s="208"/>
      <c r="H279" s="208"/>
      <c r="I279" s="312"/>
      <c r="J279" s="308"/>
      <c r="K279" s="5"/>
      <c r="L279" s="5"/>
      <c r="M279" s="5"/>
      <c r="N279" s="5"/>
      <c r="O279" s="5"/>
      <c r="P279" s="5"/>
      <c r="Q279" s="5"/>
      <c r="R279" s="327">
        <v>4</v>
      </c>
      <c r="S279" s="206" t="s">
        <v>379</v>
      </c>
      <c r="T279" s="207"/>
      <c r="U279" s="220"/>
      <c r="V279" s="42">
        <f t="shared" si="20"/>
        <v>279</v>
      </c>
      <c r="W279" s="188" t="str">
        <f t="shared" si="36"/>
        <v>✔</v>
      </c>
      <c r="Y279" s="155"/>
      <c r="Z279" s="233">
        <v>0</v>
      </c>
      <c r="AA279" s="233">
        <v>50</v>
      </c>
    </row>
    <row r="280" spans="1:27" ht="20.100000000000001" customHeight="1" thickBot="1">
      <c r="A280" s="305"/>
      <c r="B280" s="306"/>
      <c r="C280" s="1147"/>
      <c r="D280" s="1148" t="s">
        <v>43</v>
      </c>
      <c r="E280" s="928"/>
      <c r="F280" s="928"/>
      <c r="G280" s="208"/>
      <c r="H280" s="208"/>
      <c r="I280" s="312"/>
      <c r="J280" s="308"/>
      <c r="K280" s="5"/>
      <c r="L280" s="5"/>
      <c r="M280" s="5"/>
      <c r="N280" s="5"/>
      <c r="O280" s="5"/>
      <c r="P280" s="5"/>
      <c r="Q280" s="5"/>
      <c r="R280" s="327">
        <v>4</v>
      </c>
      <c r="S280" s="206" t="s">
        <v>379</v>
      </c>
      <c r="T280" s="207"/>
      <c r="U280" s="220"/>
      <c r="V280" s="42">
        <f t="shared" si="20"/>
        <v>280</v>
      </c>
      <c r="W280" s="188" t="str">
        <f t="shared" si="36"/>
        <v>✔</v>
      </c>
      <c r="Y280" s="155"/>
      <c r="Z280" s="233">
        <v>0</v>
      </c>
      <c r="AA280" s="233">
        <v>80</v>
      </c>
    </row>
    <row r="281" spans="1:27" ht="20.100000000000001" customHeight="1" thickBot="1">
      <c r="A281" s="305"/>
      <c r="B281" s="306"/>
      <c r="C281" s="1147"/>
      <c r="D281" s="1148" t="s">
        <v>1479</v>
      </c>
      <c r="E281" s="928"/>
      <c r="F281" s="928"/>
      <c r="G281" s="208"/>
      <c r="H281" s="208"/>
      <c r="I281" s="312"/>
      <c r="J281" s="308"/>
      <c r="K281" s="5"/>
      <c r="L281" s="5"/>
      <c r="M281" s="5"/>
      <c r="N281" s="5"/>
      <c r="O281" s="5"/>
      <c r="P281" s="5"/>
      <c r="Q281" s="5"/>
      <c r="R281" s="327">
        <v>53</v>
      </c>
      <c r="S281" s="206" t="s">
        <v>379</v>
      </c>
      <c r="T281" s="207"/>
      <c r="U281" s="220"/>
      <c r="V281" s="42">
        <f t="shared" ref="V281:V320" si="37">+ROW()</f>
        <v>281</v>
      </c>
      <c r="W281" s="188" t="str">
        <f t="shared" si="36"/>
        <v>✔</v>
      </c>
      <c r="Y281" s="155"/>
      <c r="Z281" s="233">
        <v>0</v>
      </c>
      <c r="AA281" s="230">
        <v>300</v>
      </c>
    </row>
    <row r="282" spans="1:27" ht="20.100000000000001" customHeight="1" thickBot="1">
      <c r="A282" s="305"/>
      <c r="B282" s="306"/>
      <c r="C282" s="1147"/>
      <c r="D282" s="1148" t="s">
        <v>1481</v>
      </c>
      <c r="E282" s="928"/>
      <c r="F282" s="928"/>
      <c r="G282" s="208"/>
      <c r="H282" s="208"/>
      <c r="I282" s="312"/>
      <c r="J282" s="308"/>
      <c r="K282" s="5"/>
      <c r="L282" s="5"/>
      <c r="M282" s="5"/>
      <c r="N282" s="5"/>
      <c r="O282" s="5"/>
      <c r="P282" s="5"/>
      <c r="Q282" s="5"/>
      <c r="R282" s="327">
        <v>37</v>
      </c>
      <c r="S282" s="206" t="s">
        <v>379</v>
      </c>
      <c r="T282" s="207"/>
      <c r="U282" s="220"/>
      <c r="V282" s="42">
        <f t="shared" si="37"/>
        <v>282</v>
      </c>
      <c r="W282" s="188" t="str">
        <f t="shared" ref="W282" si="38">IF(R282="","未入力あり","✔")</f>
        <v>✔</v>
      </c>
      <c r="Y282" s="155"/>
      <c r="Z282" s="233">
        <v>0</v>
      </c>
      <c r="AA282" s="230">
        <v>300</v>
      </c>
    </row>
    <row r="283" spans="1:27" ht="20.100000000000001" customHeight="1" thickBot="1">
      <c r="A283" s="305"/>
      <c r="B283" s="306"/>
      <c r="C283" s="1147"/>
      <c r="D283" s="1148" t="s">
        <v>1480</v>
      </c>
      <c r="E283" s="928"/>
      <c r="F283" s="928"/>
      <c r="G283" s="208"/>
      <c r="H283" s="208"/>
      <c r="I283" s="312"/>
      <c r="J283" s="308"/>
      <c r="K283" s="5"/>
      <c r="L283" s="5"/>
      <c r="M283" s="5"/>
      <c r="N283" s="5"/>
      <c r="O283" s="5"/>
      <c r="P283" s="5"/>
      <c r="Q283" s="5"/>
      <c r="R283" s="327">
        <v>4</v>
      </c>
      <c r="S283" s="206" t="s">
        <v>379</v>
      </c>
      <c r="T283" s="207"/>
      <c r="U283" s="220"/>
      <c r="V283" s="42">
        <f t="shared" si="37"/>
        <v>283</v>
      </c>
      <c r="W283" s="188" t="str">
        <f t="shared" si="36"/>
        <v>✔</v>
      </c>
      <c r="Y283" s="155"/>
      <c r="Z283" s="233">
        <v>0</v>
      </c>
      <c r="AA283" s="233">
        <v>700</v>
      </c>
    </row>
    <row r="284" spans="1:27" ht="20.100000000000001" customHeight="1" thickBot="1">
      <c r="A284" s="305"/>
      <c r="B284" s="306"/>
      <c r="C284" s="1147"/>
      <c r="D284" s="1148" t="s">
        <v>1482</v>
      </c>
      <c r="E284" s="928"/>
      <c r="F284" s="928"/>
      <c r="G284" s="208"/>
      <c r="H284" s="208"/>
      <c r="I284" s="312"/>
      <c r="J284" s="308"/>
      <c r="K284" s="5"/>
      <c r="L284" s="5"/>
      <c r="M284" s="5"/>
      <c r="N284" s="5"/>
      <c r="O284" s="5"/>
      <c r="P284" s="5"/>
      <c r="Q284" s="5"/>
      <c r="R284" s="327">
        <v>3</v>
      </c>
      <c r="S284" s="206" t="s">
        <v>379</v>
      </c>
      <c r="T284" s="207"/>
      <c r="U284" s="220"/>
      <c r="V284" s="42">
        <f t="shared" si="37"/>
        <v>284</v>
      </c>
      <c r="W284" s="188" t="str">
        <f t="shared" ref="W284" si="39">IF(R284="","未入力あり","✔")</f>
        <v>✔</v>
      </c>
      <c r="Y284" s="155"/>
      <c r="Z284" s="233">
        <v>0</v>
      </c>
      <c r="AA284" s="230">
        <v>300</v>
      </c>
    </row>
    <row r="285" spans="1:27" ht="20.100000000000001" customHeight="1" thickBot="1">
      <c r="A285" s="305"/>
      <c r="B285" s="319" t="s">
        <v>1742</v>
      </c>
      <c r="C285" s="189"/>
      <c r="D285" s="206"/>
      <c r="F285" s="189"/>
      <c r="G285" s="181"/>
      <c r="H285" s="182"/>
      <c r="I285" s="182"/>
      <c r="J285" s="300"/>
      <c r="K285" s="308"/>
      <c r="L285" s="5"/>
      <c r="M285" s="5"/>
      <c r="N285" s="5"/>
      <c r="O285" s="5"/>
      <c r="P285" s="5"/>
      <c r="Q285" s="5"/>
      <c r="R285" s="317"/>
      <c r="S285" s="206"/>
      <c r="T285" s="207"/>
      <c r="U285" s="220"/>
      <c r="V285" s="42">
        <f t="shared" si="37"/>
        <v>285</v>
      </c>
      <c r="Y285" s="155"/>
      <c r="Z285" s="181"/>
      <c r="AA285" s="181"/>
    </row>
    <row r="286" spans="1:27" ht="20.100000000000001" customHeight="1" thickBot="1">
      <c r="A286" s="305"/>
      <c r="B286" s="306"/>
      <c r="C286" s="311" t="s">
        <v>505</v>
      </c>
      <c r="D286" s="189"/>
      <c r="E286" s="206"/>
      <c r="F286" s="308"/>
      <c r="G286" s="206"/>
      <c r="H286" s="208"/>
      <c r="I286" s="208"/>
      <c r="J286" s="312"/>
      <c r="K286" s="308"/>
      <c r="L286" s="5"/>
      <c r="M286" s="5"/>
      <c r="N286" s="5"/>
      <c r="O286" s="5"/>
      <c r="P286" s="5"/>
      <c r="Q286" s="5"/>
      <c r="R286" s="327">
        <v>108</v>
      </c>
      <c r="S286" s="206" t="s">
        <v>379</v>
      </c>
      <c r="T286" s="207"/>
      <c r="U286" s="220"/>
      <c r="V286" s="42">
        <f t="shared" si="37"/>
        <v>286</v>
      </c>
      <c r="W286" s="188" t="str">
        <f t="shared" ref="W286:W288" si="40">IF(R286="","未入力あり","✔")</f>
        <v>✔</v>
      </c>
      <c r="Y286" s="155"/>
      <c r="Z286" s="233">
        <v>0</v>
      </c>
      <c r="AA286" s="233">
        <v>730</v>
      </c>
    </row>
    <row r="287" spans="1:27" ht="20.100000000000001" customHeight="1" thickBot="1">
      <c r="A287" s="305"/>
      <c r="B287" s="306"/>
      <c r="C287" s="311" t="s">
        <v>506</v>
      </c>
      <c r="D287" s="308"/>
      <c r="E287" s="206"/>
      <c r="F287" s="308"/>
      <c r="G287" s="206"/>
      <c r="H287" s="208"/>
      <c r="I287" s="208"/>
      <c r="J287" s="312"/>
      <c r="K287" s="308"/>
      <c r="L287" s="5"/>
      <c r="M287" s="5"/>
      <c r="N287" s="5"/>
      <c r="O287" s="5"/>
      <c r="P287" s="5"/>
      <c r="Q287" s="5"/>
      <c r="R287" s="327">
        <v>37</v>
      </c>
      <c r="S287" s="206" t="s">
        <v>379</v>
      </c>
      <c r="T287" s="207"/>
      <c r="U287" s="220"/>
      <c r="V287" s="42">
        <f t="shared" si="37"/>
        <v>287</v>
      </c>
      <c r="W287" s="188" t="str">
        <f t="shared" si="40"/>
        <v>✔</v>
      </c>
      <c r="Y287" s="155"/>
      <c r="Z287" s="233">
        <v>0</v>
      </c>
      <c r="AA287" s="233">
        <v>510</v>
      </c>
    </row>
    <row r="288" spans="1:27" ht="20.100000000000001" customHeight="1" thickBot="1">
      <c r="A288" s="305"/>
      <c r="B288" s="306"/>
      <c r="C288" s="318" t="s">
        <v>507</v>
      </c>
      <c r="D288" s="274"/>
      <c r="E288" s="274"/>
      <c r="F288" s="304"/>
      <c r="G288" s="274"/>
      <c r="H288" s="275"/>
      <c r="I288" s="275"/>
      <c r="J288" s="313"/>
      <c r="K288" s="308"/>
      <c r="L288" s="5"/>
      <c r="M288" s="5"/>
      <c r="N288" s="5"/>
      <c r="O288" s="5"/>
      <c r="P288" s="5"/>
      <c r="Q288" s="5"/>
      <c r="R288" s="327">
        <v>58</v>
      </c>
      <c r="S288" s="206" t="s">
        <v>379</v>
      </c>
      <c r="T288" s="207"/>
      <c r="U288" s="220"/>
      <c r="V288" s="42">
        <f t="shared" si="37"/>
        <v>288</v>
      </c>
      <c r="W288" s="188" t="str">
        <f t="shared" si="40"/>
        <v>✔</v>
      </c>
      <c r="Y288" s="155"/>
      <c r="Z288" s="233">
        <v>0</v>
      </c>
      <c r="AA288" s="233">
        <v>400</v>
      </c>
    </row>
    <row r="289" spans="1:27" ht="20.100000000000001" customHeight="1" thickBot="1">
      <c r="A289" s="278"/>
      <c r="B289" s="302" t="s">
        <v>1743</v>
      </c>
      <c r="C289" s="274"/>
      <c r="D289" s="274"/>
      <c r="E289" s="274"/>
      <c r="F289" s="273"/>
      <c r="G289" s="275"/>
      <c r="H289" s="266"/>
      <c r="I289" s="234"/>
      <c r="J289" s="276"/>
      <c r="L289" s="5"/>
      <c r="M289" s="5"/>
      <c r="N289" s="5"/>
      <c r="O289" s="5"/>
      <c r="P289" s="5"/>
      <c r="Q289" s="5"/>
      <c r="S289" s="5"/>
      <c r="T289" s="207"/>
      <c r="U289" s="220"/>
      <c r="V289" s="42">
        <f t="shared" si="37"/>
        <v>289</v>
      </c>
      <c r="Y289" s="155"/>
      <c r="Z289" s="181"/>
      <c r="AA289" s="181"/>
    </row>
    <row r="290" spans="1:27" ht="20.100000000000001" customHeight="1" thickBot="1">
      <c r="A290" s="278"/>
      <c r="B290" s="298"/>
      <c r="C290" s="1148" t="s">
        <v>1744</v>
      </c>
      <c r="D290" s="206"/>
      <c r="E290" s="206"/>
      <c r="F290" s="207"/>
      <c r="G290" s="208"/>
      <c r="H290" s="221"/>
      <c r="I290" s="226"/>
      <c r="J290" s="5"/>
      <c r="L290" s="5"/>
      <c r="M290" s="5"/>
      <c r="N290" s="5"/>
      <c r="O290" s="5"/>
      <c r="P290" s="5"/>
      <c r="Q290" s="5"/>
      <c r="R290" s="327">
        <v>0</v>
      </c>
      <c r="S290" s="206" t="s">
        <v>379</v>
      </c>
      <c r="T290" s="207"/>
      <c r="U290" s="220"/>
      <c r="V290" s="42">
        <f t="shared" si="37"/>
        <v>290</v>
      </c>
      <c r="W290" s="188" t="str">
        <f t="shared" ref="W290:W293" si="41">IF(R290="","未入力あり","✔")</f>
        <v>✔</v>
      </c>
      <c r="Y290" s="155"/>
      <c r="Z290" s="233">
        <v>0</v>
      </c>
      <c r="AA290" s="230">
        <v>100</v>
      </c>
    </row>
    <row r="291" spans="1:27" ht="20.100000000000001" customHeight="1" thickBot="1">
      <c r="A291" s="278"/>
      <c r="B291" s="298"/>
      <c r="C291" s="311" t="s">
        <v>508</v>
      </c>
      <c r="D291" s="206"/>
      <c r="E291" s="206"/>
      <c r="F291" s="207"/>
      <c r="G291" s="208"/>
      <c r="H291" s="221"/>
      <c r="I291" s="226"/>
      <c r="J291" s="5"/>
      <c r="L291" s="5"/>
      <c r="M291" s="5"/>
      <c r="N291" s="5"/>
      <c r="O291" s="5"/>
      <c r="P291" s="5"/>
      <c r="Q291" s="5"/>
      <c r="R291" s="327">
        <v>0</v>
      </c>
      <c r="S291" s="206" t="s">
        <v>379</v>
      </c>
      <c r="T291" s="207"/>
      <c r="U291" s="220"/>
      <c r="V291" s="42">
        <f t="shared" si="37"/>
        <v>291</v>
      </c>
      <c r="W291" s="188" t="str">
        <f t="shared" ref="W291" si="42">IF(R291="","未入力あり","✔")</f>
        <v>✔</v>
      </c>
      <c r="Y291" s="155"/>
      <c r="Z291" s="233">
        <v>0</v>
      </c>
      <c r="AA291" s="230">
        <v>100</v>
      </c>
    </row>
    <row r="292" spans="1:27" ht="20.100000000000001" customHeight="1" thickBot="1">
      <c r="A292" s="278"/>
      <c r="B292" s="298"/>
      <c r="C292" s="311" t="s">
        <v>1566</v>
      </c>
      <c r="D292" s="206"/>
      <c r="E292" s="206"/>
      <c r="F292" s="207"/>
      <c r="G292" s="208"/>
      <c r="H292" s="221"/>
      <c r="I292" s="226"/>
      <c r="J292" s="5"/>
      <c r="L292" s="5"/>
      <c r="M292" s="5"/>
      <c r="N292" s="5"/>
      <c r="O292" s="5"/>
      <c r="P292" s="5"/>
      <c r="Q292" s="5"/>
      <c r="R292" s="327">
        <v>0</v>
      </c>
      <c r="S292" s="206" t="s">
        <v>379</v>
      </c>
      <c r="T292" s="207"/>
      <c r="U292" s="220"/>
      <c r="V292" s="42">
        <f t="shared" si="37"/>
        <v>292</v>
      </c>
      <c r="W292" s="188" t="str">
        <f t="shared" si="41"/>
        <v>✔</v>
      </c>
      <c r="Y292" s="155"/>
      <c r="Z292" s="233">
        <v>0</v>
      </c>
      <c r="AA292" s="230">
        <v>100</v>
      </c>
    </row>
    <row r="293" spans="1:27" ht="20.100000000000001" customHeight="1" thickBot="1">
      <c r="A293" s="278"/>
      <c r="B293" s="298"/>
      <c r="C293" s="311" t="s">
        <v>1567</v>
      </c>
      <c r="D293" s="274"/>
      <c r="E293" s="274"/>
      <c r="F293" s="273"/>
      <c r="G293" s="275"/>
      <c r="H293" s="266"/>
      <c r="I293" s="234"/>
      <c r="J293" s="276"/>
      <c r="L293" s="276"/>
      <c r="M293" s="276"/>
      <c r="N293" s="276"/>
      <c r="O293" s="276"/>
      <c r="P293" s="276"/>
      <c r="Q293" s="276"/>
      <c r="R293" s="327">
        <v>0</v>
      </c>
      <c r="S293" s="274" t="s">
        <v>379</v>
      </c>
      <c r="T293" s="273"/>
      <c r="U293" s="321"/>
      <c r="V293" s="42">
        <f t="shared" si="37"/>
        <v>293</v>
      </c>
      <c r="W293" s="188" t="str">
        <f t="shared" si="41"/>
        <v>✔</v>
      </c>
      <c r="Y293" s="155"/>
      <c r="Z293" s="233">
        <v>0</v>
      </c>
      <c r="AA293" s="230">
        <v>100</v>
      </c>
    </row>
    <row r="294" spans="1:27" ht="20.100000000000001" customHeight="1" thickBot="1">
      <c r="A294" s="278"/>
      <c r="B294" s="298"/>
      <c r="C294" s="311" t="s">
        <v>1568</v>
      </c>
      <c r="D294" s="274"/>
      <c r="E294" s="274"/>
      <c r="F294" s="273"/>
      <c r="G294" s="275"/>
      <c r="H294" s="266"/>
      <c r="I294" s="234"/>
      <c r="J294" s="276"/>
      <c r="L294" s="276"/>
      <c r="M294" s="276"/>
      <c r="N294" s="276"/>
      <c r="O294" s="276"/>
      <c r="P294" s="276"/>
      <c r="Q294" s="276"/>
      <c r="R294" s="327">
        <v>0</v>
      </c>
      <c r="S294" s="274" t="s">
        <v>379</v>
      </c>
      <c r="T294" s="273"/>
      <c r="U294" s="321"/>
      <c r="V294" s="42">
        <f t="shared" si="37"/>
        <v>294</v>
      </c>
      <c r="W294" s="188" t="str">
        <f t="shared" ref="W294" si="43">IF(R294="","未入力あり","✔")</f>
        <v>✔</v>
      </c>
      <c r="Y294" s="155"/>
      <c r="Z294" s="233">
        <v>0</v>
      </c>
      <c r="AA294" s="230">
        <v>100</v>
      </c>
    </row>
    <row r="295" spans="1:27" ht="20.100000000000001" customHeight="1" thickBot="1">
      <c r="A295" s="278"/>
      <c r="B295" s="311"/>
      <c r="C295" s="206"/>
      <c r="D295" s="206"/>
      <c r="E295" s="206"/>
      <c r="F295" s="207"/>
      <c r="G295" s="208"/>
      <c r="H295" s="221"/>
      <c r="I295" s="226"/>
      <c r="J295" s="276"/>
      <c r="L295" s="276"/>
      <c r="M295" s="276"/>
      <c r="N295" s="276"/>
      <c r="O295" s="276"/>
      <c r="P295" s="276"/>
      <c r="Q295" s="276"/>
      <c r="R295" s="276"/>
      <c r="S295" s="276"/>
      <c r="T295" s="273"/>
      <c r="U295" s="321"/>
      <c r="V295" s="42">
        <f t="shared" si="37"/>
        <v>295</v>
      </c>
      <c r="Y295" s="155"/>
      <c r="Z295" s="181"/>
      <c r="AA295" s="181"/>
    </row>
    <row r="296" spans="1:27" ht="20.100000000000001" customHeight="1" thickBot="1">
      <c r="A296" s="278"/>
      <c r="B296" s="311" t="s">
        <v>509</v>
      </c>
      <c r="C296" s="206"/>
      <c r="D296" s="206"/>
      <c r="E296" s="206"/>
      <c r="F296" s="207"/>
      <c r="G296" s="208"/>
      <c r="H296" s="221"/>
      <c r="I296" s="226"/>
      <c r="J296" s="276"/>
      <c r="L296" s="276"/>
      <c r="M296" s="276"/>
      <c r="N296" s="276"/>
      <c r="O296" s="276"/>
      <c r="P296" s="276"/>
      <c r="Q296" s="276"/>
      <c r="R296" s="63" t="s">
        <v>1808</v>
      </c>
      <c r="S296" s="1264" t="s">
        <v>510</v>
      </c>
      <c r="T296" s="1265"/>
      <c r="U296" s="321"/>
      <c r="V296" s="42">
        <f t="shared" si="37"/>
        <v>296</v>
      </c>
      <c r="W296" s="188" t="str">
        <f>IF(R296="","未入力あり","✔")</f>
        <v>✔</v>
      </c>
      <c r="Y296" s="155"/>
      <c r="Z296" s="181"/>
      <c r="AA296" s="181"/>
    </row>
    <row r="297" spans="1:27" ht="20.100000000000001" customHeight="1" thickBot="1">
      <c r="A297" s="278"/>
      <c r="B297" s="311" t="s">
        <v>511</v>
      </c>
      <c r="C297" s="206"/>
      <c r="D297" s="206"/>
      <c r="E297" s="206"/>
      <c r="F297" s="207"/>
      <c r="G297" s="208"/>
      <c r="H297" s="221"/>
      <c r="I297" s="226"/>
      <c r="J297" s="276"/>
      <c r="L297" s="276"/>
      <c r="M297" s="276"/>
      <c r="N297" s="276"/>
      <c r="O297" s="276"/>
      <c r="P297" s="276"/>
      <c r="Q297" s="276"/>
      <c r="R297" s="63" t="s">
        <v>1809</v>
      </c>
      <c r="S297" s="1264" t="s">
        <v>510</v>
      </c>
      <c r="T297" s="1265"/>
      <c r="U297" s="321"/>
      <c r="V297" s="42">
        <f t="shared" si="37"/>
        <v>297</v>
      </c>
      <c r="W297" s="188" t="str">
        <f t="shared" ref="W297:W302" si="44">IF(R297="","未入力あり","✔")</f>
        <v>✔</v>
      </c>
      <c r="Y297" s="155"/>
      <c r="Z297" s="181"/>
      <c r="AA297" s="181"/>
    </row>
    <row r="298" spans="1:27" ht="20.100000000000001" customHeight="1" thickBot="1">
      <c r="A298" s="278"/>
      <c r="B298" s="311" t="s">
        <v>512</v>
      </c>
      <c r="C298" s="206"/>
      <c r="D298" s="206"/>
      <c r="E298" s="206"/>
      <c r="F298" s="207"/>
      <c r="G298" s="208"/>
      <c r="H298" s="221"/>
      <c r="I298" s="226"/>
      <c r="J298" s="276"/>
      <c r="L298" s="276"/>
      <c r="M298" s="276"/>
      <c r="N298" s="276"/>
      <c r="O298" s="276"/>
      <c r="P298" s="276"/>
      <c r="Q298" s="276"/>
      <c r="R298" s="63" t="s">
        <v>1808</v>
      </c>
      <c r="S298" s="1264" t="s">
        <v>510</v>
      </c>
      <c r="T298" s="1265"/>
      <c r="U298" s="321"/>
      <c r="V298" s="42">
        <f t="shared" si="37"/>
        <v>298</v>
      </c>
      <c r="W298" s="188" t="str">
        <f t="shared" si="44"/>
        <v>✔</v>
      </c>
      <c r="Y298" s="155"/>
      <c r="Z298" s="181"/>
      <c r="AA298" s="181"/>
    </row>
    <row r="299" spans="1:27" ht="20.100000000000001" customHeight="1" thickBot="1">
      <c r="A299" s="278"/>
      <c r="B299" s="311" t="s">
        <v>513</v>
      </c>
      <c r="C299" s="206"/>
      <c r="D299" s="206"/>
      <c r="E299" s="206"/>
      <c r="F299" s="207"/>
      <c r="G299" s="208"/>
      <c r="H299" s="221"/>
      <c r="I299" s="226"/>
      <c r="J299" s="276"/>
      <c r="L299" s="276"/>
      <c r="M299" s="276"/>
      <c r="N299" s="276"/>
      <c r="O299" s="276"/>
      <c r="P299" s="276"/>
      <c r="Q299" s="276"/>
      <c r="R299" s="63" t="s">
        <v>1809</v>
      </c>
      <c r="S299" s="1264" t="s">
        <v>510</v>
      </c>
      <c r="T299" s="1265"/>
      <c r="U299" s="321"/>
      <c r="V299" s="42">
        <f t="shared" si="37"/>
        <v>299</v>
      </c>
      <c r="W299" s="188" t="str">
        <f t="shared" ref="W299" si="45">IF(R299="","未入力あり","✔")</f>
        <v>✔</v>
      </c>
      <c r="Y299" s="155"/>
      <c r="Z299" s="181"/>
      <c r="AA299" s="181"/>
    </row>
    <row r="300" spans="1:27" ht="20.100000000000001" customHeight="1" thickBot="1">
      <c r="A300" s="278"/>
      <c r="B300" s="311" t="s">
        <v>514</v>
      </c>
      <c r="C300" s="206"/>
      <c r="D300" s="206"/>
      <c r="E300" s="206"/>
      <c r="F300" s="207"/>
      <c r="G300" s="208"/>
      <c r="H300" s="221"/>
      <c r="I300" s="226"/>
      <c r="J300" s="276"/>
      <c r="L300" s="276"/>
      <c r="M300" s="276"/>
      <c r="N300" s="276"/>
      <c r="O300" s="276"/>
      <c r="P300" s="276"/>
      <c r="Q300" s="276"/>
      <c r="R300" s="63" t="s">
        <v>1809</v>
      </c>
      <c r="S300" s="1264" t="s">
        <v>510</v>
      </c>
      <c r="T300" s="1265"/>
      <c r="U300" s="321"/>
      <c r="V300" s="42">
        <f t="shared" si="37"/>
        <v>300</v>
      </c>
      <c r="W300" s="188" t="str">
        <f t="shared" si="44"/>
        <v>✔</v>
      </c>
      <c r="Y300" s="155"/>
      <c r="Z300" s="181"/>
      <c r="AA300" s="181"/>
    </row>
    <row r="301" spans="1:27" ht="20.100000000000001" customHeight="1" thickBot="1">
      <c r="A301" s="278"/>
      <c r="B301" s="311" t="s">
        <v>515</v>
      </c>
      <c r="C301" s="206"/>
      <c r="D301" s="206"/>
      <c r="E301" s="206"/>
      <c r="F301" s="207"/>
      <c r="G301" s="208"/>
      <c r="H301" s="221"/>
      <c r="I301" s="226"/>
      <c r="J301" s="276"/>
      <c r="L301" s="276"/>
      <c r="M301" s="276"/>
      <c r="N301" s="276"/>
      <c r="O301" s="276"/>
      <c r="P301" s="276"/>
      <c r="Q301" s="276"/>
      <c r="R301" s="63" t="s">
        <v>1809</v>
      </c>
      <c r="S301" s="1264" t="s">
        <v>510</v>
      </c>
      <c r="T301" s="1265"/>
      <c r="U301" s="321"/>
      <c r="V301" s="42">
        <f t="shared" si="37"/>
        <v>301</v>
      </c>
      <c r="W301" s="188" t="str">
        <f t="shared" si="44"/>
        <v>✔</v>
      </c>
      <c r="Y301" s="155"/>
      <c r="Z301" s="181"/>
      <c r="AA301" s="181"/>
    </row>
    <row r="302" spans="1:27" ht="20.100000000000001" customHeight="1" thickBot="1">
      <c r="A302" s="278"/>
      <c r="B302" s="311" t="s">
        <v>516</v>
      </c>
      <c r="C302" s="206"/>
      <c r="D302" s="206"/>
      <c r="E302" s="206"/>
      <c r="F302" s="207"/>
      <c r="G302" s="208"/>
      <c r="H302" s="221"/>
      <c r="I302" s="226"/>
      <c r="J302" s="276"/>
      <c r="L302" s="276"/>
      <c r="M302" s="276"/>
      <c r="N302" s="276"/>
      <c r="O302" s="276"/>
      <c r="P302" s="276"/>
      <c r="Q302" s="276"/>
      <c r="R302" s="63" t="s">
        <v>1809</v>
      </c>
      <c r="S302" s="1264" t="s">
        <v>510</v>
      </c>
      <c r="T302" s="1265"/>
      <c r="U302" s="321"/>
      <c r="V302" s="42">
        <f t="shared" si="37"/>
        <v>302</v>
      </c>
      <c r="W302" s="188" t="str">
        <f t="shared" si="44"/>
        <v>✔</v>
      </c>
      <c r="Y302" s="155"/>
      <c r="Z302" s="181"/>
      <c r="AA302" s="181"/>
    </row>
    <row r="303" spans="1:27" ht="20.100000000000001" customHeight="1" thickBot="1">
      <c r="A303" s="278"/>
      <c r="B303" s="311" t="s">
        <v>517</v>
      </c>
      <c r="C303" s="206"/>
      <c r="D303" s="206"/>
      <c r="E303" s="206"/>
      <c r="F303" s="207"/>
      <c r="G303" s="208"/>
      <c r="H303" s="221"/>
      <c r="I303" s="226"/>
      <c r="J303" s="276"/>
      <c r="L303" s="276"/>
      <c r="M303" s="276"/>
      <c r="N303" s="276"/>
      <c r="O303" s="276"/>
      <c r="P303" s="276"/>
      <c r="Q303" s="276"/>
      <c r="R303" s="63" t="s">
        <v>1809</v>
      </c>
      <c r="S303" s="1264" t="s">
        <v>510</v>
      </c>
      <c r="T303" s="1265"/>
      <c r="U303" s="321"/>
      <c r="V303" s="42">
        <f t="shared" si="37"/>
        <v>303</v>
      </c>
      <c r="W303" s="188" t="str">
        <f t="shared" ref="W303" si="46">IF(R303="","未入力あり","✔")</f>
        <v>✔</v>
      </c>
      <c r="Y303" s="155"/>
      <c r="Z303" s="181"/>
      <c r="AA303" s="181"/>
    </row>
    <row r="304" spans="1:27" ht="20.100000000000001" customHeight="1" thickBot="1">
      <c r="A304" s="278"/>
      <c r="B304" s="311"/>
      <c r="C304" s="206"/>
      <c r="D304" s="206"/>
      <c r="E304" s="206"/>
      <c r="F304" s="207"/>
      <c r="G304" s="208"/>
      <c r="H304" s="221"/>
      <c r="I304" s="226"/>
      <c r="J304" s="276"/>
      <c r="L304" s="276"/>
      <c r="M304" s="276"/>
      <c r="N304" s="276"/>
      <c r="O304" s="276"/>
      <c r="P304" s="276"/>
      <c r="Q304" s="276"/>
      <c r="R304" s="276"/>
      <c r="S304" s="276"/>
      <c r="T304" s="273"/>
      <c r="U304" s="321"/>
      <c r="V304" s="42">
        <f t="shared" si="37"/>
        <v>304</v>
      </c>
      <c r="Y304" s="155"/>
      <c r="Z304" s="181"/>
      <c r="AA304" s="181"/>
    </row>
    <row r="305" spans="1:27" ht="20.100000000000001" customHeight="1" thickBot="1">
      <c r="A305" s="278"/>
      <c r="B305" s="311" t="s">
        <v>518</v>
      </c>
      <c r="C305" s="206"/>
      <c r="D305" s="206"/>
      <c r="E305" s="206"/>
      <c r="F305" s="207"/>
      <c r="G305" s="208"/>
      <c r="H305" s="221"/>
      <c r="I305" s="226"/>
      <c r="J305" s="276"/>
      <c r="L305" s="276"/>
      <c r="M305" s="276"/>
      <c r="N305" s="276"/>
      <c r="O305" s="276"/>
      <c r="P305" s="276"/>
      <c r="Q305" s="276"/>
      <c r="R305" s="63" t="s">
        <v>1809</v>
      </c>
      <c r="S305" s="1264" t="s">
        <v>510</v>
      </c>
      <c r="T305" s="1265"/>
      <c r="U305" s="321"/>
      <c r="V305" s="42">
        <f t="shared" si="37"/>
        <v>305</v>
      </c>
      <c r="W305" s="188" t="str">
        <f t="shared" ref="W305:W306" si="47">IF(R305="","未入力あり","✔")</f>
        <v>✔</v>
      </c>
      <c r="Y305" s="155"/>
      <c r="Z305" s="181"/>
      <c r="AA305" s="181"/>
    </row>
    <row r="306" spans="1:27" ht="20.100000000000001" customHeight="1" thickBot="1">
      <c r="A306" s="278"/>
      <c r="B306" s="311" t="s">
        <v>519</v>
      </c>
      <c r="C306" s="206"/>
      <c r="D306" s="206"/>
      <c r="E306" s="206"/>
      <c r="F306" s="207"/>
      <c r="G306" s="208"/>
      <c r="H306" s="221"/>
      <c r="I306" s="226"/>
      <c r="J306" s="276"/>
      <c r="L306" s="276"/>
      <c r="M306" s="276"/>
      <c r="N306" s="276"/>
      <c r="O306" s="276"/>
      <c r="P306" s="276"/>
      <c r="Q306" s="276"/>
      <c r="R306" s="63" t="s">
        <v>1809</v>
      </c>
      <c r="S306" s="1264" t="s">
        <v>510</v>
      </c>
      <c r="T306" s="1265"/>
      <c r="U306" s="321"/>
      <c r="V306" s="42">
        <f t="shared" si="37"/>
        <v>306</v>
      </c>
      <c r="W306" s="188" t="str">
        <f t="shared" si="47"/>
        <v>✔</v>
      </c>
      <c r="Y306" s="155"/>
      <c r="Z306" s="181"/>
      <c r="AA306" s="181"/>
    </row>
    <row r="307" spans="1:27" ht="20.100000000000001" customHeight="1">
      <c r="A307" s="205"/>
      <c r="B307" s="311"/>
      <c r="C307" s="206"/>
      <c r="D307" s="206"/>
      <c r="E307" s="206"/>
      <c r="F307" s="207"/>
      <c r="G307" s="208"/>
      <c r="H307" s="221"/>
      <c r="I307" s="226"/>
      <c r="J307" s="5"/>
      <c r="K307" s="5"/>
      <c r="L307" s="5"/>
      <c r="M307" s="5"/>
      <c r="N307" s="5"/>
      <c r="O307" s="5"/>
      <c r="P307" s="5"/>
      <c r="Q307" s="5"/>
      <c r="R307" s="257"/>
      <c r="S307" s="5"/>
      <c r="T307" s="207"/>
      <c r="U307" s="220"/>
      <c r="V307" s="42">
        <f t="shared" si="37"/>
        <v>307</v>
      </c>
      <c r="Y307" s="155"/>
      <c r="Z307" s="181"/>
      <c r="AA307" s="181"/>
    </row>
    <row r="308" spans="1:27" ht="20.100000000000001" customHeight="1" thickBot="1">
      <c r="A308" s="326" t="s">
        <v>520</v>
      </c>
      <c r="B308" s="206"/>
      <c r="C308" s="206"/>
      <c r="D308" s="206"/>
      <c r="E308" s="206"/>
      <c r="F308" s="207"/>
      <c r="G308" s="208"/>
      <c r="H308" s="221"/>
      <c r="I308" s="226"/>
      <c r="J308" s="5"/>
      <c r="K308" s="5"/>
      <c r="L308" s="5"/>
      <c r="M308" s="5"/>
      <c r="N308" s="5"/>
      <c r="O308" s="5"/>
      <c r="P308" s="5"/>
      <c r="Q308" s="5"/>
      <c r="R308" s="234"/>
      <c r="S308" s="5"/>
      <c r="T308" s="207"/>
      <c r="U308" s="220"/>
      <c r="V308" s="42">
        <f t="shared" si="37"/>
        <v>308</v>
      </c>
      <c r="Y308" s="155"/>
      <c r="Z308" s="181"/>
      <c r="AA308" s="181"/>
    </row>
    <row r="309" spans="1:27" ht="20.100000000000001" customHeight="1" thickBot="1">
      <c r="A309" s="205"/>
      <c r="B309" s="206" t="s">
        <v>521</v>
      </c>
      <c r="C309" s="206"/>
      <c r="D309" s="206"/>
      <c r="E309" s="206"/>
      <c r="F309" s="207"/>
      <c r="G309" s="208"/>
      <c r="H309" s="221"/>
      <c r="I309" s="226"/>
      <c r="J309" s="5"/>
      <c r="K309" s="5"/>
      <c r="L309" s="5"/>
      <c r="M309" s="5"/>
      <c r="N309" s="5"/>
      <c r="O309" s="5"/>
      <c r="P309" s="5"/>
      <c r="Q309" s="5"/>
      <c r="R309" s="63" t="s">
        <v>1809</v>
      </c>
      <c r="S309" s="1264" t="s">
        <v>510</v>
      </c>
      <c r="T309" s="1265"/>
      <c r="U309" s="220"/>
      <c r="V309" s="42">
        <f t="shared" si="37"/>
        <v>309</v>
      </c>
      <c r="W309" s="188" t="str">
        <f t="shared" ref="W309:W312" si="48">IF(R309="","未入力あり","✔")</f>
        <v>✔</v>
      </c>
      <c r="Y309" s="155"/>
      <c r="Z309" s="181"/>
      <c r="AA309" s="181"/>
    </row>
    <row r="310" spans="1:27" ht="20.100000000000001" customHeight="1" thickBot="1">
      <c r="A310" s="205"/>
      <c r="B310" s="206"/>
      <c r="C310" s="206" t="s">
        <v>522</v>
      </c>
      <c r="D310" s="206"/>
      <c r="E310" s="206"/>
      <c r="F310" s="207"/>
      <c r="G310" s="208"/>
      <c r="H310" s="221"/>
      <c r="I310" s="226"/>
      <c r="J310" s="5"/>
      <c r="K310" s="5"/>
      <c r="L310" s="5"/>
      <c r="M310" s="5"/>
      <c r="N310" s="5"/>
      <c r="O310" s="5"/>
      <c r="P310" s="5"/>
      <c r="Q310" s="5"/>
      <c r="R310" s="63" t="s">
        <v>1809</v>
      </c>
      <c r="S310" s="1264" t="s">
        <v>510</v>
      </c>
      <c r="T310" s="1265"/>
      <c r="U310" s="220"/>
      <c r="V310" s="42">
        <f t="shared" si="37"/>
        <v>310</v>
      </c>
      <c r="W310" s="188" t="str">
        <f t="shared" si="48"/>
        <v>✔</v>
      </c>
      <c r="Y310" s="155"/>
      <c r="Z310" s="181"/>
      <c r="AA310" s="181"/>
    </row>
    <row r="311" spans="1:27" ht="20.100000000000001" customHeight="1" thickBot="1">
      <c r="A311" s="205"/>
      <c r="B311" s="206"/>
      <c r="C311" s="206" t="s">
        <v>523</v>
      </c>
      <c r="D311" s="206"/>
      <c r="E311" s="206"/>
      <c r="F311" s="207"/>
      <c r="G311" s="208"/>
      <c r="H311" s="221"/>
      <c r="I311" s="226"/>
      <c r="J311" s="5"/>
      <c r="K311" s="5"/>
      <c r="L311" s="5"/>
      <c r="M311" s="5"/>
      <c r="N311" s="5"/>
      <c r="O311" s="5"/>
      <c r="P311" s="5"/>
      <c r="Q311" s="5"/>
      <c r="R311" s="63" t="s">
        <v>1809</v>
      </c>
      <c r="S311" s="1264" t="s">
        <v>510</v>
      </c>
      <c r="T311" s="1265"/>
      <c r="U311" s="220"/>
      <c r="V311" s="42">
        <f t="shared" si="37"/>
        <v>311</v>
      </c>
      <c r="W311" s="188" t="str">
        <f t="shared" si="48"/>
        <v>✔</v>
      </c>
      <c r="Y311" s="155"/>
      <c r="Z311" s="181"/>
      <c r="AA311" s="181"/>
    </row>
    <row r="312" spans="1:27" ht="20.100000000000001" customHeight="1" thickBot="1">
      <c r="A312" s="205"/>
      <c r="B312" s="206"/>
      <c r="C312" s="206"/>
      <c r="D312" s="206" t="s">
        <v>524</v>
      </c>
      <c r="E312" s="206"/>
      <c r="F312" s="207"/>
      <c r="G312" s="208"/>
      <c r="H312" s="221"/>
      <c r="I312" s="226"/>
      <c r="J312" s="5"/>
      <c r="K312" s="5"/>
      <c r="L312" s="5"/>
      <c r="M312" s="5"/>
      <c r="N312" s="5"/>
      <c r="O312" s="5"/>
      <c r="P312" s="5"/>
      <c r="Q312" s="5"/>
      <c r="R312" s="327">
        <v>0</v>
      </c>
      <c r="S312" s="206" t="s">
        <v>525</v>
      </c>
      <c r="T312" s="207"/>
      <c r="U312" s="220"/>
      <c r="V312" s="42">
        <f t="shared" si="37"/>
        <v>312</v>
      </c>
      <c r="W312" s="188" t="str">
        <f t="shared" si="48"/>
        <v>✔</v>
      </c>
      <c r="Y312" s="155"/>
      <c r="Z312" s="233">
        <v>0</v>
      </c>
      <c r="AA312" s="230">
        <v>120</v>
      </c>
    </row>
    <row r="313" spans="1:27" ht="20.100000000000001" customHeight="1">
      <c r="A313" s="205"/>
      <c r="B313" s="206"/>
      <c r="C313" s="206"/>
      <c r="D313" s="206"/>
      <c r="E313" s="206"/>
      <c r="F313" s="207"/>
      <c r="G313" s="208"/>
      <c r="H313" s="221"/>
      <c r="I313" s="226"/>
      <c r="J313" s="5"/>
      <c r="K313" s="5"/>
      <c r="L313" s="5"/>
      <c r="M313" s="5"/>
      <c r="N313" s="5"/>
      <c r="O313" s="5"/>
      <c r="P313" s="5"/>
      <c r="Q313" s="5"/>
      <c r="R313" s="257"/>
      <c r="S313" s="5"/>
      <c r="T313" s="207"/>
      <c r="U313" s="220"/>
      <c r="V313" s="42">
        <f t="shared" si="37"/>
        <v>313</v>
      </c>
      <c r="Y313" s="155"/>
      <c r="Z313" s="181"/>
      <c r="AA313" s="181"/>
    </row>
    <row r="314" spans="1:27" ht="20.100000000000001" customHeight="1" thickBot="1">
      <c r="A314" s="205" t="s">
        <v>526</v>
      </c>
      <c r="B314" s="206"/>
      <c r="C314" s="206"/>
      <c r="D314" s="206"/>
      <c r="E314" s="206"/>
      <c r="F314" s="207"/>
      <c r="G314" s="208"/>
      <c r="H314" s="221"/>
      <c r="I314" s="226"/>
      <c r="J314" s="5"/>
      <c r="K314" s="5"/>
      <c r="L314" s="5"/>
      <c r="M314" s="5"/>
      <c r="N314" s="5"/>
      <c r="O314" s="5"/>
      <c r="P314" s="5"/>
      <c r="Q314" s="5"/>
      <c r="R314" s="234"/>
      <c r="S314" s="5"/>
      <c r="T314" s="207"/>
      <c r="U314" s="220"/>
      <c r="V314" s="42">
        <f t="shared" si="37"/>
        <v>314</v>
      </c>
      <c r="Y314" s="155"/>
      <c r="Z314" s="181"/>
      <c r="AA314" s="181"/>
    </row>
    <row r="315" spans="1:27" ht="20.100000000000001" customHeight="1" thickBot="1">
      <c r="A315" s="205"/>
      <c r="B315" s="206" t="s">
        <v>527</v>
      </c>
      <c r="C315" s="206"/>
      <c r="D315" s="206"/>
      <c r="E315" s="206"/>
      <c r="F315" s="207"/>
      <c r="G315" s="208"/>
      <c r="H315" s="221"/>
      <c r="I315" s="226"/>
      <c r="J315" s="5"/>
      <c r="K315" s="5"/>
      <c r="L315" s="5"/>
      <c r="M315" s="5"/>
      <c r="N315" s="5"/>
      <c r="O315" s="5"/>
      <c r="P315" s="5"/>
      <c r="Q315" s="5"/>
      <c r="R315" s="63" t="s">
        <v>1808</v>
      </c>
      <c r="S315" s="1264" t="s">
        <v>510</v>
      </c>
      <c r="T315" s="1265"/>
      <c r="U315" s="220"/>
      <c r="V315" s="42">
        <f t="shared" si="37"/>
        <v>315</v>
      </c>
      <c r="W315" s="188" t="str">
        <f t="shared" ref="W315:W316" si="49">IF(R315="","未入力あり","✔")</f>
        <v>✔</v>
      </c>
      <c r="Y315" s="155"/>
      <c r="Z315" s="181"/>
      <c r="AA315" s="181"/>
    </row>
    <row r="316" spans="1:27" ht="20.100000000000001" customHeight="1" thickBot="1">
      <c r="A316" s="205"/>
      <c r="B316" s="206" t="s">
        <v>528</v>
      </c>
      <c r="C316" s="206"/>
      <c r="D316" s="206"/>
      <c r="E316" s="206"/>
      <c r="F316" s="207"/>
      <c r="G316" s="208"/>
      <c r="H316" s="221"/>
      <c r="I316" s="226"/>
      <c r="J316" s="5"/>
      <c r="K316" s="5"/>
      <c r="L316" s="5"/>
      <c r="M316" s="5"/>
      <c r="N316" s="5"/>
      <c r="O316" s="5"/>
      <c r="P316" s="5"/>
      <c r="Q316" s="5"/>
      <c r="R316" s="63" t="s">
        <v>1808</v>
      </c>
      <c r="S316" s="1264" t="s">
        <v>510</v>
      </c>
      <c r="T316" s="1265"/>
      <c r="U316" s="220"/>
      <c r="V316" s="42">
        <f t="shared" si="37"/>
        <v>316</v>
      </c>
      <c r="W316" s="188" t="str">
        <f t="shared" si="49"/>
        <v>✔</v>
      </c>
      <c r="Y316" s="155"/>
      <c r="Z316" s="181"/>
      <c r="AA316" s="181"/>
    </row>
    <row r="317" spans="1:27" ht="20.100000000000001" customHeight="1">
      <c r="A317" s="205" t="s">
        <v>529</v>
      </c>
      <c r="B317" s="206"/>
      <c r="C317" s="206"/>
      <c r="D317" s="206"/>
      <c r="E317" s="206"/>
      <c r="F317" s="207"/>
      <c r="G317" s="208"/>
      <c r="H317" s="221"/>
      <c r="I317" s="226"/>
      <c r="J317" s="5"/>
      <c r="K317" s="5"/>
      <c r="L317" s="5"/>
      <c r="M317" s="5"/>
      <c r="N317" s="5"/>
      <c r="O317" s="5"/>
      <c r="P317" s="5"/>
      <c r="Q317" s="5"/>
      <c r="R317" s="257"/>
      <c r="S317" s="5"/>
      <c r="T317" s="207"/>
      <c r="U317" s="220"/>
      <c r="V317" s="42">
        <f t="shared" si="37"/>
        <v>317</v>
      </c>
      <c r="Y317" s="155"/>
      <c r="Z317" s="181"/>
      <c r="AA317" s="181"/>
    </row>
    <row r="318" spans="1:27" ht="20.100000000000001" customHeight="1">
      <c r="A318" s="272"/>
      <c r="B318" s="274"/>
      <c r="C318" s="274"/>
      <c r="D318" s="274"/>
      <c r="E318" s="274"/>
      <c r="F318" s="273"/>
      <c r="G318" s="275"/>
      <c r="H318" s="266"/>
      <c r="I318" s="234"/>
      <c r="J318" s="276"/>
      <c r="K318" s="276"/>
      <c r="L318" s="276"/>
      <c r="M318" s="276"/>
      <c r="N318" s="276"/>
      <c r="O318" s="276"/>
      <c r="P318" s="276"/>
      <c r="Q318" s="276"/>
      <c r="R318" s="226"/>
      <c r="S318" s="276"/>
      <c r="T318" s="273"/>
      <c r="U318" s="321"/>
      <c r="V318" s="42">
        <f t="shared" si="37"/>
        <v>318</v>
      </c>
      <c r="Y318" s="155"/>
      <c r="Z318" s="181"/>
      <c r="AA318" s="181"/>
    </row>
    <row r="319" spans="1:27" ht="20.100000000000001" customHeight="1" thickBot="1">
      <c r="A319" s="272" t="s">
        <v>530</v>
      </c>
      <c r="B319" s="274"/>
      <c r="C319" s="274"/>
      <c r="D319" s="274"/>
      <c r="E319" s="274"/>
      <c r="F319" s="273"/>
      <c r="G319" s="275"/>
      <c r="H319" s="266"/>
      <c r="I319" s="234"/>
      <c r="J319" s="276"/>
      <c r="K319" s="276"/>
      <c r="L319" s="276"/>
      <c r="M319" s="276"/>
      <c r="N319" s="276"/>
      <c r="O319" s="276"/>
      <c r="P319" s="276"/>
      <c r="Q319" s="276"/>
      <c r="R319" s="226"/>
      <c r="S319" s="276"/>
      <c r="T319" s="273"/>
      <c r="U319" s="321"/>
      <c r="V319" s="42">
        <f t="shared" si="37"/>
        <v>319</v>
      </c>
      <c r="Y319" s="155"/>
      <c r="Z319" s="181"/>
      <c r="AA319" s="181"/>
    </row>
    <row r="320" spans="1:27" ht="20.100000000000001" customHeight="1" thickBot="1">
      <c r="A320" s="205"/>
      <c r="B320" s="206" t="s">
        <v>531</v>
      </c>
      <c r="C320" s="206"/>
      <c r="D320" s="206"/>
      <c r="E320" s="206"/>
      <c r="F320" s="207"/>
      <c r="G320" s="208"/>
      <c r="H320" s="221"/>
      <c r="I320" s="226"/>
      <c r="J320" s="5"/>
      <c r="K320" s="5"/>
      <c r="L320" s="5"/>
      <c r="M320" s="5"/>
      <c r="N320" s="5"/>
      <c r="O320" s="5"/>
      <c r="P320" s="5"/>
      <c r="Q320" s="5"/>
      <c r="R320" s="63" t="s">
        <v>1808</v>
      </c>
      <c r="S320" s="1264" t="s">
        <v>510</v>
      </c>
      <c r="T320" s="1265"/>
      <c r="U320" s="220"/>
      <c r="V320" s="42">
        <f t="shared" si="37"/>
        <v>320</v>
      </c>
      <c r="W320" s="188" t="str">
        <f t="shared" ref="W320" si="50">IF(R320="","未入力あり","✔")</f>
        <v>✔</v>
      </c>
      <c r="Y320" s="151"/>
      <c r="Z320" s="181"/>
      <c r="AA320" s="181"/>
    </row>
    <row r="321" spans="26:27" ht="20.100000000000001" customHeight="1">
      <c r="Z321" s="181"/>
      <c r="AA321" s="181"/>
    </row>
    <row r="322" spans="26:27" ht="20.100000000000001" customHeight="1">
      <c r="Z322" s="181"/>
      <c r="AA322" s="181"/>
    </row>
    <row r="323" spans="26:27" ht="20.100000000000001" customHeight="1">
      <c r="Z323" s="181"/>
      <c r="AA323" s="181"/>
    </row>
    <row r="324" spans="26:27" ht="20.100000000000001" customHeight="1">
      <c r="Z324" s="181"/>
      <c r="AA324" s="181"/>
    </row>
    <row r="325" spans="26:27" ht="20.100000000000001" customHeight="1">
      <c r="Z325" s="181"/>
      <c r="AA325" s="181"/>
    </row>
    <row r="326" spans="26:27" ht="20.100000000000001" customHeight="1">
      <c r="Z326" s="181"/>
      <c r="AA326" s="181"/>
    </row>
    <row r="327" spans="26:27" ht="20.100000000000001" customHeight="1">
      <c r="Z327" s="181"/>
      <c r="AA327" s="181"/>
    </row>
    <row r="328" spans="26:27" ht="20.100000000000001" customHeight="1">
      <c r="Z328" s="181"/>
      <c r="AA328" s="181"/>
    </row>
    <row r="329" spans="26:27" ht="20.100000000000001" customHeight="1">
      <c r="Z329" s="181"/>
      <c r="AA329" s="181"/>
    </row>
    <row r="330" spans="26:27" ht="20.100000000000001" customHeight="1">
      <c r="Z330" s="181"/>
      <c r="AA330" s="181"/>
    </row>
    <row r="331" spans="26:27" ht="20.100000000000001" customHeight="1">
      <c r="Z331" s="181"/>
      <c r="AA331" s="181"/>
    </row>
    <row r="332" spans="26:27" ht="20.100000000000001" customHeight="1">
      <c r="Z332" s="181"/>
      <c r="AA332" s="181"/>
    </row>
    <row r="333" spans="26:27" ht="20.100000000000001" customHeight="1">
      <c r="Z333" s="181"/>
      <c r="AA333" s="181"/>
    </row>
    <row r="334" spans="26:27" ht="20.100000000000001" customHeight="1">
      <c r="Z334" s="181"/>
      <c r="AA334" s="181"/>
    </row>
    <row r="335" spans="26:27" ht="20.100000000000001" customHeight="1">
      <c r="Z335" s="181"/>
      <c r="AA335" s="181"/>
    </row>
    <row r="336" spans="26:27" ht="20.100000000000001" customHeight="1">
      <c r="Z336" s="181"/>
      <c r="AA336" s="181"/>
    </row>
    <row r="337" spans="26:27" ht="20.100000000000001" customHeight="1">
      <c r="Z337" s="181"/>
      <c r="AA337" s="181"/>
    </row>
  </sheetData>
  <sheetProtection selectLockedCells="1"/>
  <dataConsolidate/>
  <mergeCells count="43">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S316:T316"/>
    <mergeCell ref="S320:T320"/>
    <mergeCell ref="E260:J260"/>
    <mergeCell ref="S305:T305"/>
    <mergeCell ref="S296:T296"/>
    <mergeCell ref="S297:T297"/>
    <mergeCell ref="S298:T298"/>
    <mergeCell ref="S300:T300"/>
    <mergeCell ref="S301:T301"/>
    <mergeCell ref="S302:T302"/>
    <mergeCell ref="S315:T315"/>
  </mergeCells>
  <phoneticPr fontId="9"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19">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1F522CE3-73EF-47B0-9A37-93308759FC1A}">
      <formula1>"大阪府がん診療拠点病院,大阪府がん診療推進病院"</formula1>
    </dataValidation>
    <dataValidation type="list" allowBlank="1" showInputMessage="1" showErrorMessage="1" error="選択肢から選んでください" sqref="G6" xr:uid="{309F370B-E1D8-4C29-B869-2D5492241974}">
      <formula1>"大阪府がん診療拠点病院,大阪府がん診療推進病院,指定なし"</formula1>
    </dataValidation>
  </dataValidations>
  <printOptions horizontalCentered="1"/>
  <pageMargins left="0.39370078740157483" right="0.39370078740157483" top="0.59055118110236227" bottom="0.59055118110236227" header="0.35433070866141736" footer="0.27559055118110237"/>
  <pageSetup paperSize="8" scale="58"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topLeftCell="H1" zoomScale="77" zoomScaleNormal="55" zoomScaleSheetLayoutView="77" workbookViewId="0">
      <selection activeCell="J342" sqref="J342:J358"/>
    </sheetView>
  </sheetViews>
  <sheetFormatPr defaultColWidth="9" defaultRowHeight="13.5"/>
  <cols>
    <col min="1" max="1" width="4.375" style="333" customWidth="1"/>
    <col min="2" max="5" width="4.125" style="333" customWidth="1"/>
    <col min="6" max="6" width="6.25" style="333" customWidth="1"/>
    <col min="7" max="7" width="4.125" style="333" customWidth="1"/>
    <col min="8" max="8" width="118.625" style="62" customWidth="1"/>
    <col min="9" max="9" width="9.875" style="329" customWidth="1"/>
    <col min="10" max="10" width="13.125" style="62" customWidth="1"/>
    <col min="11" max="11" width="55.375" style="62" customWidth="1"/>
    <col min="12" max="12" width="2.375" style="330" customWidth="1"/>
    <col min="13" max="13" width="9" style="331"/>
    <col min="14" max="14" width="1" style="331" customWidth="1"/>
    <col min="15" max="15" width="73.125" style="332" customWidth="1"/>
    <col min="16" max="20" width="9" style="49" customWidth="1"/>
    <col min="21" max="21" width="11.5" style="49" customWidth="1"/>
    <col min="22" max="22" width="9" style="49" customWidth="1"/>
    <col min="23" max="16384" width="9" style="49"/>
  </cols>
  <sheetData>
    <row r="1" spans="1:19" ht="14.25" thickBot="1">
      <c r="A1" s="328">
        <v>1</v>
      </c>
      <c r="B1" s="49"/>
      <c r="C1" s="49"/>
      <c r="D1" s="49"/>
      <c r="E1" s="49"/>
      <c r="F1" s="49"/>
      <c r="G1" s="49"/>
      <c r="H1" s="49"/>
      <c r="I1" s="49"/>
      <c r="K1" s="329"/>
      <c r="Q1" s="333" t="s">
        <v>532</v>
      </c>
      <c r="R1" s="333" t="s">
        <v>533</v>
      </c>
      <c r="S1" s="333" t="s">
        <v>534</v>
      </c>
    </row>
    <row r="2" spans="1:19" ht="21.75" customHeight="1" thickBot="1">
      <c r="A2" s="328">
        <v>2</v>
      </c>
      <c r="B2" s="1309" t="s">
        <v>535</v>
      </c>
      <c r="C2" s="1309"/>
      <c r="D2" s="1309"/>
      <c r="E2" s="1309"/>
      <c r="F2" s="1309"/>
      <c r="G2" s="1309"/>
      <c r="H2" s="1312" t="str">
        <f>+IF(ISBLANK(表紙!E2),"未入力",表紙!E2)</f>
        <v>パナソニック健康保険組合　松下記念病院</v>
      </c>
      <c r="J2" s="334"/>
      <c r="K2" s="335" t="str">
        <f>+IF(SUM(Q2)&gt;0,"未入力があります。","")</f>
        <v/>
      </c>
      <c r="Q2" s="49">
        <f>+COUNTIF($M10:$M358,$Q$1)</f>
        <v>0</v>
      </c>
      <c r="R2" s="49">
        <f>+COUNTIF($M10:$M358,$R$1)</f>
        <v>152</v>
      </c>
      <c r="S2" s="49">
        <f>+COUNTIF($M10:$M358,$S$1)</f>
        <v>0</v>
      </c>
    </row>
    <row r="3" spans="1:19" ht="14.25" thickBot="1">
      <c r="A3" s="328">
        <v>3</v>
      </c>
      <c r="B3" s="1310"/>
      <c r="C3" s="1310"/>
      <c r="D3" s="1310"/>
      <c r="E3" s="1310"/>
      <c r="F3" s="1310"/>
      <c r="G3" s="1310"/>
      <c r="H3" s="1313"/>
      <c r="J3" s="329"/>
      <c r="K3" s="329"/>
    </row>
    <row r="4" spans="1:19" ht="14.25" thickBot="1">
      <c r="A4" s="328">
        <v>4</v>
      </c>
      <c r="B4" s="1311"/>
      <c r="C4" s="1311"/>
      <c r="D4" s="1311"/>
      <c r="E4" s="1311"/>
      <c r="F4" s="1311"/>
      <c r="G4" s="1311"/>
      <c r="H4" s="1314"/>
      <c r="J4" s="329"/>
      <c r="K4" s="329"/>
    </row>
    <row r="5" spans="1:19" ht="14.25" thickBot="1">
      <c r="A5" s="328">
        <v>5</v>
      </c>
      <c r="B5" s="332"/>
      <c r="J5" s="329"/>
      <c r="K5" s="329"/>
    </row>
    <row r="6" spans="1:19" ht="14.25" thickBot="1">
      <c r="A6" s="328">
        <v>6</v>
      </c>
      <c r="B6" s="332"/>
      <c r="J6" s="329"/>
      <c r="K6" s="329"/>
    </row>
    <row r="7" spans="1:19" ht="14.25" thickBot="1">
      <c r="A7" s="328">
        <v>7</v>
      </c>
      <c r="B7" s="332"/>
      <c r="J7" s="329"/>
      <c r="K7" s="329"/>
    </row>
    <row r="8" spans="1:19" ht="39" customHeight="1" thickBot="1">
      <c r="A8" s="328">
        <v>8</v>
      </c>
      <c r="B8" s="49"/>
      <c r="J8" s="329"/>
    </row>
    <row r="9" spans="1:19" ht="39" customHeight="1" thickBot="1">
      <c r="A9" s="328">
        <v>9</v>
      </c>
      <c r="B9" s="336" t="s">
        <v>1595</v>
      </c>
      <c r="C9" s="337"/>
      <c r="D9" s="337"/>
      <c r="E9" s="337"/>
      <c r="F9" s="337"/>
      <c r="G9" s="337"/>
      <c r="H9" s="338" t="s">
        <v>536</v>
      </c>
      <c r="I9" s="339" t="s">
        <v>537</v>
      </c>
      <c r="J9" s="340" t="s">
        <v>1727</v>
      </c>
      <c r="K9" s="341" t="s">
        <v>538</v>
      </c>
      <c r="O9" s="342" t="s">
        <v>539</v>
      </c>
    </row>
    <row r="10" spans="1:19" ht="14.25" thickBot="1">
      <c r="A10" s="328">
        <v>10</v>
      </c>
      <c r="C10" s="991">
        <v>1</v>
      </c>
      <c r="D10" s="343" t="s">
        <v>540</v>
      </c>
      <c r="E10" s="344"/>
      <c r="F10" s="344"/>
      <c r="G10" s="344"/>
      <c r="H10" s="345"/>
      <c r="I10" s="346"/>
      <c r="J10" s="345"/>
      <c r="K10" s="347"/>
      <c r="O10" s="156"/>
    </row>
    <row r="11" spans="1:19" ht="14.25" thickBot="1">
      <c r="A11" s="328">
        <v>11</v>
      </c>
      <c r="C11" s="351"/>
      <c r="D11" s="352" t="s">
        <v>541</v>
      </c>
      <c r="E11" s="353" t="s">
        <v>542</v>
      </c>
      <c r="F11" s="354"/>
      <c r="G11" s="354"/>
      <c r="H11" s="355"/>
      <c r="I11" s="356"/>
      <c r="J11" s="355"/>
      <c r="K11" s="357"/>
      <c r="O11" s="156"/>
    </row>
    <row r="12" spans="1:19" ht="14.25" thickBot="1">
      <c r="A12" s="328">
        <v>12</v>
      </c>
      <c r="C12" s="351"/>
      <c r="D12" s="351"/>
      <c r="E12" s="931" t="s">
        <v>446</v>
      </c>
      <c r="F12" s="932" t="s">
        <v>543</v>
      </c>
      <c r="G12" s="933"/>
      <c r="H12" s="934"/>
      <c r="I12" s="360"/>
      <c r="J12" s="359"/>
      <c r="K12" s="361"/>
      <c r="O12" s="156"/>
    </row>
    <row r="13" spans="1:19" ht="68.25" thickBot="1">
      <c r="A13" s="328">
        <v>13</v>
      </c>
      <c r="C13" s="351"/>
      <c r="D13" s="351"/>
      <c r="E13" s="935"/>
      <c r="F13" s="936" t="s">
        <v>1271</v>
      </c>
      <c r="G13" s="937"/>
      <c r="H13" s="938" t="s">
        <v>1574</v>
      </c>
      <c r="I13" s="363" t="s">
        <v>1262</v>
      </c>
      <c r="J13" s="66" t="s">
        <v>1808</v>
      </c>
      <c r="K13" s="348" t="s">
        <v>544</v>
      </c>
      <c r="M13" s="349" t="str">
        <f t="shared" ref="M13:M19" si="0">+IF(I13="A",IF(ISBLANK(J13),"未入力あり",IF(J13="はい","○","×")),"")</f>
        <v>○</v>
      </c>
      <c r="O13" s="156"/>
    </row>
    <row r="14" spans="1:19" ht="30.75" customHeight="1" thickBot="1">
      <c r="A14" s="328">
        <v>14</v>
      </c>
      <c r="C14" s="351"/>
      <c r="D14" s="351"/>
      <c r="E14" s="935"/>
      <c r="F14" s="939"/>
      <c r="G14" s="940"/>
      <c r="H14" s="941" t="s">
        <v>1265</v>
      </c>
      <c r="I14" s="365" t="s">
        <v>1262</v>
      </c>
      <c r="J14" s="66" t="s">
        <v>1808</v>
      </c>
      <c r="K14" s="350" t="s">
        <v>545</v>
      </c>
      <c r="M14" s="349" t="str">
        <f t="shared" si="0"/>
        <v>○</v>
      </c>
      <c r="O14" s="156"/>
    </row>
    <row r="15" spans="1:19" ht="14.25" thickBot="1">
      <c r="A15" s="328">
        <v>15</v>
      </c>
      <c r="C15" s="351"/>
      <c r="D15" s="351"/>
      <c r="E15" s="935"/>
      <c r="F15" s="936" t="s">
        <v>1272</v>
      </c>
      <c r="G15" s="937"/>
      <c r="H15" s="942" t="s">
        <v>546</v>
      </c>
      <c r="I15" s="366" t="s">
        <v>1262</v>
      </c>
      <c r="J15" s="66" t="s">
        <v>1808</v>
      </c>
      <c r="K15" s="1016"/>
      <c r="M15" s="349" t="str">
        <f t="shared" si="0"/>
        <v>○</v>
      </c>
      <c r="O15" s="156"/>
    </row>
    <row r="16" spans="1:19" ht="14.25" thickBot="1">
      <c r="A16" s="328">
        <v>16</v>
      </c>
      <c r="C16" s="351"/>
      <c r="D16" s="351"/>
      <c r="E16" s="935"/>
      <c r="F16" s="935"/>
      <c r="G16" s="943" t="s">
        <v>547</v>
      </c>
      <c r="H16" s="944" t="s">
        <v>548</v>
      </c>
      <c r="I16" s="368" t="s">
        <v>1262</v>
      </c>
      <c r="J16" s="66" t="s">
        <v>1808</v>
      </c>
      <c r="K16" s="1013"/>
      <c r="M16" s="349" t="str">
        <f t="shared" si="0"/>
        <v>○</v>
      </c>
      <c r="O16" s="156"/>
    </row>
    <row r="17" spans="1:21" ht="14.25" thickBot="1">
      <c r="A17" s="328">
        <v>17</v>
      </c>
      <c r="C17" s="351"/>
      <c r="D17" s="351"/>
      <c r="E17" s="935"/>
      <c r="F17" s="935"/>
      <c r="G17" s="943" t="s">
        <v>549</v>
      </c>
      <c r="H17" s="944" t="s">
        <v>550</v>
      </c>
      <c r="I17" s="992" t="s">
        <v>1262</v>
      </c>
      <c r="J17" s="66" t="s">
        <v>1808</v>
      </c>
      <c r="K17" s="1013"/>
      <c r="M17" s="349" t="str">
        <f t="shared" si="0"/>
        <v>○</v>
      </c>
      <c r="O17" s="156"/>
    </row>
    <row r="18" spans="1:21" ht="14.25" thickBot="1">
      <c r="A18" s="328">
        <v>18</v>
      </c>
      <c r="C18" s="351"/>
      <c r="D18" s="351"/>
      <c r="E18" s="935"/>
      <c r="F18" s="939"/>
      <c r="G18" s="945" t="s">
        <v>551</v>
      </c>
      <c r="H18" s="946" t="s">
        <v>552</v>
      </c>
      <c r="I18" s="993" t="s">
        <v>1262</v>
      </c>
      <c r="J18" s="66" t="s">
        <v>1808</v>
      </c>
      <c r="K18" s="1021"/>
      <c r="M18" s="349" t="str">
        <f t="shared" si="0"/>
        <v>○</v>
      </c>
      <c r="O18" s="156"/>
    </row>
    <row r="19" spans="1:21" ht="14.25" thickBot="1">
      <c r="A19" s="328">
        <v>19</v>
      </c>
      <c r="C19" s="351"/>
      <c r="D19" s="351"/>
      <c r="E19" s="935"/>
      <c r="F19" s="936" t="s">
        <v>1273</v>
      </c>
      <c r="G19" s="937"/>
      <c r="H19" s="942" t="s">
        <v>553</v>
      </c>
      <c r="I19" s="994" t="s">
        <v>1262</v>
      </c>
      <c r="J19" s="66" t="s">
        <v>1808</v>
      </c>
      <c r="K19" s="1016"/>
      <c r="M19" s="349" t="str">
        <f t="shared" si="0"/>
        <v>○</v>
      </c>
      <c r="O19" s="156"/>
    </row>
    <row r="20" spans="1:21" ht="27.75" customHeight="1" thickBot="1">
      <c r="A20" s="328">
        <v>20</v>
      </c>
      <c r="C20" s="351"/>
      <c r="D20" s="351"/>
      <c r="E20" s="935"/>
      <c r="F20" s="935"/>
      <c r="G20" s="943" t="s">
        <v>547</v>
      </c>
      <c r="H20" s="944" t="s">
        <v>554</v>
      </c>
      <c r="I20" s="992" t="s">
        <v>1505</v>
      </c>
      <c r="J20" s="66" t="s">
        <v>1808</v>
      </c>
      <c r="K20" s="1013" t="s">
        <v>555</v>
      </c>
      <c r="M20" s="349" t="str">
        <f t="shared" ref="M20:M23" si="1">IF(ISBLANK(J20),"未入力あり","〇")</f>
        <v>〇</v>
      </c>
      <c r="O20" s="156"/>
    </row>
    <row r="21" spans="1:21" ht="27.75" thickBot="1">
      <c r="A21" s="328">
        <v>21</v>
      </c>
      <c r="C21" s="351"/>
      <c r="D21" s="351"/>
      <c r="E21" s="935"/>
      <c r="F21" s="935"/>
      <c r="G21" s="943" t="s">
        <v>549</v>
      </c>
      <c r="H21" s="944" t="s">
        <v>556</v>
      </c>
      <c r="I21" s="992" t="s">
        <v>1505</v>
      </c>
      <c r="J21" s="66" t="s">
        <v>1808</v>
      </c>
      <c r="K21" s="1013" t="s">
        <v>555</v>
      </c>
      <c r="M21" s="349" t="str">
        <f t="shared" si="1"/>
        <v>〇</v>
      </c>
      <c r="O21" s="156"/>
    </row>
    <row r="22" spans="1:21" ht="41.25" thickBot="1">
      <c r="A22" s="328">
        <v>22</v>
      </c>
      <c r="C22" s="351"/>
      <c r="D22" s="351"/>
      <c r="E22" s="935"/>
      <c r="F22" s="935"/>
      <c r="G22" s="943" t="s">
        <v>551</v>
      </c>
      <c r="H22" s="944" t="s">
        <v>557</v>
      </c>
      <c r="I22" s="992" t="s">
        <v>1505</v>
      </c>
      <c r="J22" s="327">
        <v>4</v>
      </c>
      <c r="K22" s="1013" t="s">
        <v>558</v>
      </c>
      <c r="M22" s="349" t="str">
        <f t="shared" si="1"/>
        <v>〇</v>
      </c>
      <c r="O22" s="156"/>
      <c r="T22" s="372"/>
      <c r="U22" s="373"/>
    </row>
    <row r="23" spans="1:21" ht="27.75" thickBot="1">
      <c r="A23" s="328">
        <v>23</v>
      </c>
      <c r="C23" s="351"/>
      <c r="D23" s="351"/>
      <c r="E23" s="935"/>
      <c r="F23" s="935"/>
      <c r="G23" s="947" t="s">
        <v>559</v>
      </c>
      <c r="H23" s="946" t="s">
        <v>560</v>
      </c>
      <c r="I23" s="993" t="s">
        <v>1505</v>
      </c>
      <c r="J23" s="327">
        <v>1</v>
      </c>
      <c r="K23" s="1021" t="s">
        <v>561</v>
      </c>
      <c r="M23" s="349" t="str">
        <f t="shared" si="1"/>
        <v>〇</v>
      </c>
      <c r="O23" s="156"/>
      <c r="T23" s="372"/>
      <c r="U23" s="373"/>
    </row>
    <row r="24" spans="1:21" ht="14.25" thickBot="1">
      <c r="A24" s="328">
        <v>24</v>
      </c>
      <c r="C24" s="351"/>
      <c r="D24" s="351"/>
      <c r="E24" s="935"/>
      <c r="F24" s="939"/>
      <c r="G24" s="948"/>
      <c r="H24" s="941" t="s">
        <v>562</v>
      </c>
      <c r="I24" s="995" t="s">
        <v>1262</v>
      </c>
      <c r="J24" s="66" t="s">
        <v>1808</v>
      </c>
      <c r="K24" s="1026"/>
      <c r="M24" s="349" t="str">
        <f>+IF(I24="A",IF(ISBLANK(J24),"未入力あり",IF(J24="はい","○","×")),"")</f>
        <v>○</v>
      </c>
      <c r="O24" s="156"/>
    </row>
    <row r="25" spans="1:21" ht="27.75" thickBot="1">
      <c r="A25" s="328">
        <v>25</v>
      </c>
      <c r="C25" s="351"/>
      <c r="D25" s="351"/>
      <c r="E25" s="935"/>
      <c r="F25" s="949" t="s">
        <v>1274</v>
      </c>
      <c r="G25" s="950"/>
      <c r="H25" s="951" t="s">
        <v>563</v>
      </c>
      <c r="I25" s="996" t="s">
        <v>1262</v>
      </c>
      <c r="J25" s="66" t="s">
        <v>1808</v>
      </c>
      <c r="K25" s="1015" t="s">
        <v>1643</v>
      </c>
      <c r="M25" s="349" t="str">
        <f>+IF(I25="A",IF(ISBLANK(J25),"未入力あり",IF(J25="はい","○","×")),"")</f>
        <v>○</v>
      </c>
      <c r="O25" s="156"/>
    </row>
    <row r="26" spans="1:21" ht="46.9" customHeight="1" thickBot="1">
      <c r="A26" s="328">
        <v>26</v>
      </c>
      <c r="C26" s="351"/>
      <c r="D26" s="351"/>
      <c r="E26" s="935"/>
      <c r="F26" s="936" t="s">
        <v>1275</v>
      </c>
      <c r="G26" s="937"/>
      <c r="H26" s="938" t="s">
        <v>564</v>
      </c>
      <c r="I26" s="997" t="s">
        <v>1262</v>
      </c>
      <c r="J26" s="66" t="s">
        <v>1808</v>
      </c>
      <c r="K26" s="348"/>
      <c r="M26" s="349" t="str">
        <f>+IF(I26="A",IF(ISBLANK(J26),"未入力あり",IF(J26="はい","○","×")),"")</f>
        <v>○</v>
      </c>
      <c r="O26" s="156"/>
    </row>
    <row r="27" spans="1:21" ht="38.25" customHeight="1" thickBot="1">
      <c r="A27" s="328">
        <v>27</v>
      </c>
      <c r="C27" s="351"/>
      <c r="D27" s="351"/>
      <c r="E27" s="939"/>
      <c r="F27" s="939"/>
      <c r="G27" s="940"/>
      <c r="H27" s="941" t="s">
        <v>1257</v>
      </c>
      <c r="I27" s="995" t="s">
        <v>565</v>
      </c>
      <c r="J27" s="100" t="s">
        <v>1810</v>
      </c>
      <c r="K27" s="350"/>
      <c r="M27" s="874" t="str">
        <f>IF(ISBLANK(J27),"未入力あり","〇")</f>
        <v>〇</v>
      </c>
      <c r="O27" s="156"/>
    </row>
    <row r="28" spans="1:21" ht="14.25" thickBot="1">
      <c r="A28" s="328">
        <v>28</v>
      </c>
      <c r="C28" s="351"/>
      <c r="D28" s="351"/>
      <c r="E28" s="931" t="s">
        <v>1270</v>
      </c>
      <c r="F28" s="932" t="s">
        <v>1575</v>
      </c>
      <c r="G28" s="933"/>
      <c r="H28" s="934"/>
      <c r="I28" s="998"/>
      <c r="J28" s="1151"/>
      <c r="K28" s="361"/>
      <c r="M28" s="875"/>
      <c r="O28" s="156"/>
    </row>
    <row r="29" spans="1:21" ht="14.25" thickBot="1">
      <c r="A29" s="328">
        <v>29</v>
      </c>
      <c r="C29" s="351"/>
      <c r="D29" s="351"/>
      <c r="E29" s="952" t="s">
        <v>1266</v>
      </c>
      <c r="F29" s="953"/>
      <c r="G29" s="954"/>
      <c r="H29" s="955"/>
      <c r="I29" s="999" t="s">
        <v>565</v>
      </c>
      <c r="J29" s="66" t="s">
        <v>1808</v>
      </c>
      <c r="K29" s="869"/>
      <c r="M29" s="874" t="str">
        <f>IF(ISBLANK(J29),"未入力あり","〇")</f>
        <v>〇</v>
      </c>
      <c r="O29" s="156"/>
    </row>
    <row r="30" spans="1:21" ht="31.5" customHeight="1" thickBot="1">
      <c r="A30" s="328">
        <v>30</v>
      </c>
      <c r="C30" s="351"/>
      <c r="D30" s="351"/>
      <c r="E30" s="956"/>
      <c r="F30" s="1306" t="s">
        <v>1267</v>
      </c>
      <c r="G30" s="1307"/>
      <c r="H30" s="1308"/>
      <c r="I30" s="1000"/>
      <c r="J30" s="1152"/>
      <c r="K30" s="869"/>
      <c r="O30" s="156"/>
    </row>
    <row r="31" spans="1:21" ht="19.5" customHeight="1" thickBot="1">
      <c r="A31" s="328">
        <v>31</v>
      </c>
      <c r="C31" s="351"/>
      <c r="D31" s="351"/>
      <c r="E31" s="956"/>
      <c r="F31" s="936" t="s">
        <v>1271</v>
      </c>
      <c r="G31" s="957"/>
      <c r="H31" s="958" t="s">
        <v>1331</v>
      </c>
      <c r="I31" s="1000" t="s">
        <v>1303</v>
      </c>
      <c r="J31" s="66" t="s">
        <v>1808</v>
      </c>
      <c r="K31" s="869"/>
      <c r="M31" s="874" t="str">
        <f t="shared" ref="M31:M37" si="2">IF(ISBLANK(J31),"未入力あり","〇")</f>
        <v>〇</v>
      </c>
      <c r="O31" s="156"/>
    </row>
    <row r="32" spans="1:21" ht="14.25" thickBot="1">
      <c r="A32" s="328">
        <v>32</v>
      </c>
      <c r="C32" s="351"/>
      <c r="D32" s="351"/>
      <c r="E32" s="935"/>
      <c r="F32" s="959"/>
      <c r="G32" s="957"/>
      <c r="H32" s="938" t="s">
        <v>566</v>
      </c>
      <c r="I32" s="997" t="s">
        <v>1268</v>
      </c>
      <c r="J32" s="66" t="s">
        <v>1808</v>
      </c>
      <c r="K32" s="348"/>
      <c r="M32" s="874" t="str">
        <f t="shared" si="2"/>
        <v>〇</v>
      </c>
      <c r="O32" s="156"/>
    </row>
    <row r="33" spans="1:21" ht="14.25" thickBot="1">
      <c r="A33" s="328">
        <v>33</v>
      </c>
      <c r="C33" s="351"/>
      <c r="D33" s="351"/>
      <c r="E33" s="935"/>
      <c r="F33" s="939"/>
      <c r="G33" s="948"/>
      <c r="H33" s="960" t="s">
        <v>567</v>
      </c>
      <c r="I33" s="1001" t="s">
        <v>568</v>
      </c>
      <c r="J33" s="66" t="s">
        <v>1809</v>
      </c>
      <c r="K33" s="377"/>
      <c r="M33" s="874" t="str">
        <f t="shared" si="2"/>
        <v>〇</v>
      </c>
      <c r="O33" s="156"/>
    </row>
    <row r="34" spans="1:21" ht="14.25" thickBot="1">
      <c r="A34" s="328">
        <v>34</v>
      </c>
      <c r="C34" s="351"/>
      <c r="D34" s="351"/>
      <c r="E34" s="935"/>
      <c r="F34" s="936" t="s">
        <v>1272</v>
      </c>
      <c r="G34" s="937"/>
      <c r="H34" s="938" t="s">
        <v>569</v>
      </c>
      <c r="I34" s="997" t="s">
        <v>1268</v>
      </c>
      <c r="J34" s="66" t="s">
        <v>1808</v>
      </c>
      <c r="K34" s="348"/>
      <c r="M34" s="874" t="str">
        <f t="shared" si="2"/>
        <v>〇</v>
      </c>
      <c r="O34" s="156"/>
    </row>
    <row r="35" spans="1:21" ht="14.25" thickBot="1">
      <c r="A35" s="328">
        <v>35</v>
      </c>
      <c r="C35" s="351"/>
      <c r="D35" s="351"/>
      <c r="E35" s="935"/>
      <c r="F35" s="939"/>
      <c r="G35" s="940"/>
      <c r="H35" s="941" t="s">
        <v>570</v>
      </c>
      <c r="I35" s="995" t="s">
        <v>1263</v>
      </c>
      <c r="J35" s="66" t="s">
        <v>1808</v>
      </c>
      <c r="K35" s="350"/>
      <c r="M35" s="874" t="str">
        <f t="shared" si="2"/>
        <v>〇</v>
      </c>
      <c r="O35" s="156"/>
    </row>
    <row r="36" spans="1:21" ht="14.25" thickBot="1">
      <c r="A36" s="328">
        <v>36</v>
      </c>
      <c r="C36" s="351"/>
      <c r="D36" s="351"/>
      <c r="E36" s="935"/>
      <c r="F36" s="936" t="s">
        <v>1273</v>
      </c>
      <c r="G36" s="937"/>
      <c r="H36" s="938" t="s">
        <v>571</v>
      </c>
      <c r="I36" s="1002" t="str">
        <f>IF(J29="はい","C",IF(J29="いいえ","-","C／-"))</f>
        <v>C</v>
      </c>
      <c r="J36" s="66" t="s">
        <v>1808</v>
      </c>
      <c r="K36" s="348"/>
      <c r="M36" s="874" t="str">
        <f t="shared" si="2"/>
        <v>〇</v>
      </c>
      <c r="O36" s="156"/>
    </row>
    <row r="37" spans="1:21" ht="14.25" thickBot="1">
      <c r="A37" s="328">
        <v>37</v>
      </c>
      <c r="C37" s="351"/>
      <c r="D37" s="351"/>
      <c r="E37" s="935"/>
      <c r="F37" s="939"/>
      <c r="G37" s="940"/>
      <c r="H37" s="941" t="s">
        <v>572</v>
      </c>
      <c r="I37" s="1002" t="str">
        <f>IF(J29="はい","C",IF(J29="いいえ","-","C／-"))</f>
        <v>C</v>
      </c>
      <c r="J37" s="66" t="s">
        <v>1808</v>
      </c>
      <c r="K37" s="350"/>
      <c r="M37" s="874" t="str">
        <f t="shared" si="2"/>
        <v>〇</v>
      </c>
      <c r="O37" s="156"/>
    </row>
    <row r="38" spans="1:21" ht="14.25" thickBot="1">
      <c r="A38" s="328">
        <v>38</v>
      </c>
      <c r="C38" s="351"/>
      <c r="D38" s="351"/>
      <c r="E38" s="935"/>
      <c r="F38" s="936" t="s">
        <v>1274</v>
      </c>
      <c r="G38" s="961"/>
      <c r="H38" s="962" t="s">
        <v>573</v>
      </c>
      <c r="I38" s="1002" t="str">
        <f>IF(J29="はい","A",IF(J29="いいえ","-","A／-"))</f>
        <v>A</v>
      </c>
      <c r="J38" s="66" t="s">
        <v>1808</v>
      </c>
      <c r="K38" s="378"/>
      <c r="M38" s="872" t="str">
        <f>+IF(I38="A",IF(ISBLANK(J38),"未入力あり",IF(J38="はい","○","×")),"")</f>
        <v>○</v>
      </c>
      <c r="O38" s="156"/>
    </row>
    <row r="39" spans="1:21" ht="36" customHeight="1" thickBot="1">
      <c r="A39" s="328">
        <v>39</v>
      </c>
      <c r="C39" s="351"/>
      <c r="D39" s="351"/>
      <c r="E39" s="935"/>
      <c r="F39" s="939"/>
      <c r="G39" s="948"/>
      <c r="H39" s="963" t="s">
        <v>1576</v>
      </c>
      <c r="I39" s="1003" t="s">
        <v>565</v>
      </c>
      <c r="J39" s="66" t="s">
        <v>1809</v>
      </c>
      <c r="K39" s="379"/>
      <c r="M39" s="349" t="str">
        <f>IF(ISBLANK(J39),"未入力あり","〇")</f>
        <v>〇</v>
      </c>
      <c r="O39" s="156"/>
    </row>
    <row r="40" spans="1:21" ht="41.25" thickBot="1">
      <c r="A40" s="328">
        <v>40</v>
      </c>
      <c r="C40" s="351"/>
      <c r="D40" s="351"/>
      <c r="E40" s="935"/>
      <c r="F40" s="936" t="s">
        <v>1275</v>
      </c>
      <c r="G40" s="937"/>
      <c r="H40" s="938" t="s">
        <v>1577</v>
      </c>
      <c r="I40" s="1002" t="str">
        <f>IF(J29="はい","A",IF(J29="いいえ","-","A／-"))</f>
        <v>A</v>
      </c>
      <c r="J40" s="66" t="s">
        <v>1808</v>
      </c>
      <c r="K40" s="348"/>
      <c r="M40" s="872" t="str">
        <f>+IF(I40="A",IF(ISBLANK(J40),"未入力あり",IF(J40="はい","○","×")),"")</f>
        <v>○</v>
      </c>
      <c r="O40" s="156"/>
    </row>
    <row r="41" spans="1:21" ht="36" customHeight="1" thickBot="1">
      <c r="A41" s="328">
        <v>41</v>
      </c>
      <c r="C41" s="351"/>
      <c r="D41" s="351"/>
      <c r="E41" s="935"/>
      <c r="F41" s="935"/>
      <c r="G41" s="957"/>
      <c r="H41" s="964" t="s">
        <v>1578</v>
      </c>
      <c r="I41" s="1004" t="s">
        <v>568</v>
      </c>
      <c r="J41" s="66" t="s">
        <v>1809</v>
      </c>
      <c r="K41" s="380"/>
      <c r="M41" s="349" t="str">
        <f>IF(ISBLANK(J41),"未入力あり","〇")</f>
        <v>〇</v>
      </c>
      <c r="O41" s="156"/>
    </row>
    <row r="42" spans="1:21" ht="34.5" customHeight="1" thickBot="1">
      <c r="A42" s="328">
        <v>42</v>
      </c>
      <c r="C42" s="351"/>
      <c r="D42" s="351"/>
      <c r="E42" s="935"/>
      <c r="F42" s="939"/>
      <c r="G42" s="948"/>
      <c r="H42" s="965" t="s">
        <v>1579</v>
      </c>
      <c r="I42" s="1003" t="s">
        <v>565</v>
      </c>
      <c r="J42" s="66" t="s">
        <v>1809</v>
      </c>
      <c r="K42" s="379"/>
      <c r="M42" s="349" t="str">
        <f>IF(ISBLANK(J42),"未入力あり","〇")</f>
        <v>〇</v>
      </c>
      <c r="O42" s="156"/>
    </row>
    <row r="43" spans="1:21" ht="30.75" customHeight="1" thickBot="1">
      <c r="A43" s="328">
        <v>43</v>
      </c>
      <c r="C43" s="351"/>
      <c r="D43" s="351"/>
      <c r="E43" s="935"/>
      <c r="F43" s="936" t="s">
        <v>1276</v>
      </c>
      <c r="G43" s="937"/>
      <c r="H43" s="938" t="s">
        <v>1580</v>
      </c>
      <c r="I43" s="1002" t="str">
        <f>IF(J29="はい","A",IF(J29="いいえ","-","A／-"))</f>
        <v>A</v>
      </c>
      <c r="J43" s="66" t="s">
        <v>1808</v>
      </c>
      <c r="K43" s="381"/>
      <c r="M43" s="872" t="str">
        <f>+IF(I43="A",IF(ISBLANK(J43),"未入力あり",IF(J43="はい","○","×")),"")</f>
        <v>○</v>
      </c>
      <c r="O43" s="156"/>
    </row>
    <row r="44" spans="1:21" ht="33.75" customHeight="1" thickBot="1">
      <c r="A44" s="328">
        <v>44</v>
      </c>
      <c r="C44" s="351"/>
      <c r="D44" s="351"/>
      <c r="E44" s="935"/>
      <c r="F44" s="935"/>
      <c r="G44" s="957"/>
      <c r="H44" s="966" t="s">
        <v>1581</v>
      </c>
      <c r="I44" s="997" t="s">
        <v>568</v>
      </c>
      <c r="J44" s="327">
        <v>202309</v>
      </c>
      <c r="K44" s="380" t="s">
        <v>574</v>
      </c>
      <c r="M44" s="349" t="str">
        <f t="shared" ref="M44:M46" si="3">IF(ISBLANK(J44),"未入力あり","〇")</f>
        <v>〇</v>
      </c>
      <c r="O44" s="156"/>
      <c r="U44" s="373"/>
    </row>
    <row r="45" spans="1:21" ht="36" customHeight="1" thickBot="1">
      <c r="A45" s="328">
        <v>45</v>
      </c>
      <c r="C45" s="351"/>
      <c r="D45" s="351"/>
      <c r="E45" s="935"/>
      <c r="F45" s="935"/>
      <c r="G45" s="957"/>
      <c r="H45" s="967" t="s">
        <v>1582</v>
      </c>
      <c r="I45" s="1005" t="s">
        <v>568</v>
      </c>
      <c r="J45" s="100" t="s">
        <v>1811</v>
      </c>
      <c r="K45" s="380"/>
      <c r="M45" s="349" t="str">
        <f t="shared" si="3"/>
        <v>〇</v>
      </c>
      <c r="O45" s="156"/>
    </row>
    <row r="46" spans="1:21" ht="35.25" customHeight="1" thickBot="1">
      <c r="A46" s="328">
        <v>46</v>
      </c>
      <c r="C46" s="351"/>
      <c r="D46" s="351"/>
      <c r="E46" s="935"/>
      <c r="F46" s="935"/>
      <c r="G46" s="957"/>
      <c r="H46" s="968" t="s">
        <v>1583</v>
      </c>
      <c r="I46" s="1006" t="s">
        <v>568</v>
      </c>
      <c r="J46" s="66" t="s">
        <v>1808</v>
      </c>
      <c r="K46" s="383"/>
      <c r="M46" s="349" t="str">
        <f t="shared" si="3"/>
        <v>〇</v>
      </c>
      <c r="O46" s="156"/>
    </row>
    <row r="47" spans="1:21" ht="27.75" thickBot="1">
      <c r="A47" s="328">
        <v>47</v>
      </c>
      <c r="C47" s="351"/>
      <c r="D47" s="351"/>
      <c r="E47" s="935"/>
      <c r="F47" s="969" t="s">
        <v>1277</v>
      </c>
      <c r="G47" s="950"/>
      <c r="H47" s="951" t="s">
        <v>1584</v>
      </c>
      <c r="I47" s="1002" t="str">
        <f>IF(J29="はい","C",IF(J29="いいえ","-","C／-"))</f>
        <v>C</v>
      </c>
      <c r="J47" s="66" t="s">
        <v>1808</v>
      </c>
      <c r="K47" s="384"/>
      <c r="M47" s="349" t="str">
        <f>IF(ISBLANK(J47),"未入力あり","〇")</f>
        <v>〇</v>
      </c>
      <c r="O47" s="156"/>
    </row>
    <row r="48" spans="1:21" ht="14.25" thickBot="1">
      <c r="A48" s="328">
        <v>48</v>
      </c>
      <c r="C48" s="351"/>
      <c r="D48" s="351"/>
      <c r="E48" s="935"/>
      <c r="F48" s="969" t="s">
        <v>1278</v>
      </c>
      <c r="G48" s="950"/>
      <c r="H48" s="951" t="s">
        <v>575</v>
      </c>
      <c r="I48" s="996" t="s">
        <v>1262</v>
      </c>
      <c r="J48" s="66" t="s">
        <v>1808</v>
      </c>
      <c r="K48" s="375"/>
      <c r="M48" s="349" t="str">
        <f>+IF(I48="A",IF(ISBLANK(J48),"未入力あり",IF(J48="はい","○","×")),"")</f>
        <v>○</v>
      </c>
      <c r="O48" s="156"/>
    </row>
    <row r="49" spans="1:15" ht="27.75" thickBot="1">
      <c r="A49" s="328">
        <v>49</v>
      </c>
      <c r="C49" s="351"/>
      <c r="D49" s="351"/>
      <c r="E49" s="939"/>
      <c r="F49" s="939" t="s">
        <v>1279</v>
      </c>
      <c r="G49" s="940"/>
      <c r="H49" s="970" t="s">
        <v>576</v>
      </c>
      <c r="I49" s="1007" t="s">
        <v>1262</v>
      </c>
      <c r="J49" s="66" t="s">
        <v>1808</v>
      </c>
      <c r="K49" s="1012" t="s">
        <v>1442</v>
      </c>
      <c r="M49" s="349" t="str">
        <f>+IF(I49="A",IF(ISBLANK(J49),"未入力あり",IF(J49="はい","○","×")),"")</f>
        <v>○</v>
      </c>
      <c r="O49" s="156"/>
    </row>
    <row r="50" spans="1:15" ht="14.25" thickBot="1">
      <c r="A50" s="328">
        <v>50</v>
      </c>
      <c r="C50" s="351"/>
      <c r="D50" s="351"/>
      <c r="E50" s="931" t="s">
        <v>1269</v>
      </c>
      <c r="F50" s="932" t="s">
        <v>577</v>
      </c>
      <c r="G50" s="933"/>
      <c r="H50" s="934"/>
      <c r="I50" s="1008"/>
      <c r="J50" s="1153"/>
      <c r="K50" s="361"/>
      <c r="O50" s="156"/>
    </row>
    <row r="51" spans="1:15" ht="27.75" thickBot="1">
      <c r="A51" s="328">
        <v>51</v>
      </c>
      <c r="C51" s="351"/>
      <c r="D51" s="351"/>
      <c r="E51" s="935"/>
      <c r="F51" s="936" t="s">
        <v>1271</v>
      </c>
      <c r="G51" s="937"/>
      <c r="H51" s="938" t="s">
        <v>578</v>
      </c>
      <c r="I51" s="997" t="s">
        <v>1268</v>
      </c>
      <c r="J51" s="66" t="s">
        <v>1808</v>
      </c>
      <c r="K51" s="348"/>
      <c r="M51" s="349" t="str">
        <f>IF(ISBLANK(J51),"未入力あり","〇")</f>
        <v>〇</v>
      </c>
      <c r="O51" s="156"/>
    </row>
    <row r="52" spans="1:15" ht="14.25" thickBot="1">
      <c r="A52" s="328">
        <v>52</v>
      </c>
      <c r="C52" s="351"/>
      <c r="D52" s="351"/>
      <c r="E52" s="935"/>
      <c r="F52" s="936" t="s">
        <v>1272</v>
      </c>
      <c r="G52" s="937"/>
      <c r="H52" s="938" t="s">
        <v>1506</v>
      </c>
      <c r="I52" s="997" t="s">
        <v>1262</v>
      </c>
      <c r="J52" s="66" t="s">
        <v>1808</v>
      </c>
      <c r="K52" s="348"/>
      <c r="M52" s="349" t="str">
        <f t="shared" ref="M52:M108" si="4">+IF(I52="A",IF(ISBLANK(J52),"未入力あり",IF(J52="はい","○","×")),"")</f>
        <v>○</v>
      </c>
      <c r="O52" s="156"/>
    </row>
    <row r="53" spans="1:15" ht="27.75" thickBot="1">
      <c r="A53" s="328">
        <v>53</v>
      </c>
      <c r="C53" s="351"/>
      <c r="D53" s="351"/>
      <c r="E53" s="935"/>
      <c r="F53" s="939"/>
      <c r="G53" s="940"/>
      <c r="H53" s="941" t="s">
        <v>579</v>
      </c>
      <c r="I53" s="1009" t="s">
        <v>1262</v>
      </c>
      <c r="J53" s="66" t="s">
        <v>1808</v>
      </c>
      <c r="K53" s="350"/>
      <c r="M53" s="349" t="str">
        <f t="shared" si="4"/>
        <v>○</v>
      </c>
      <c r="O53" s="156"/>
    </row>
    <row r="54" spans="1:15" ht="27.75" thickBot="1">
      <c r="A54" s="328">
        <v>54</v>
      </c>
      <c r="C54" s="351"/>
      <c r="D54" s="351"/>
      <c r="E54" s="935"/>
      <c r="F54" s="935" t="s">
        <v>1273</v>
      </c>
      <c r="G54" s="957"/>
      <c r="H54" s="942" t="s">
        <v>1585</v>
      </c>
      <c r="I54" s="994" t="s">
        <v>1262</v>
      </c>
      <c r="J54" s="66" t="s">
        <v>1808</v>
      </c>
      <c r="K54" s="367" t="s">
        <v>580</v>
      </c>
      <c r="M54" s="349" t="str">
        <f t="shared" si="4"/>
        <v>○</v>
      </c>
      <c r="O54" s="156"/>
    </row>
    <row r="55" spans="1:15" ht="27.75" thickBot="1">
      <c r="A55" s="328">
        <v>55</v>
      </c>
      <c r="C55" s="351"/>
      <c r="D55" s="351"/>
      <c r="E55" s="935"/>
      <c r="F55" s="935"/>
      <c r="G55" s="943" t="s">
        <v>547</v>
      </c>
      <c r="H55" s="944" t="s">
        <v>581</v>
      </c>
      <c r="I55" s="992" t="s">
        <v>1262</v>
      </c>
      <c r="J55" s="66" t="s">
        <v>1808</v>
      </c>
      <c r="K55" s="369"/>
      <c r="M55" s="349" t="str">
        <f t="shared" si="4"/>
        <v>○</v>
      </c>
      <c r="O55" s="156"/>
    </row>
    <row r="56" spans="1:15" ht="27.75" thickBot="1">
      <c r="A56" s="328">
        <v>56</v>
      </c>
      <c r="C56" s="351"/>
      <c r="D56" s="351"/>
      <c r="E56" s="935"/>
      <c r="F56" s="935"/>
      <c r="G56" s="971" t="s">
        <v>549</v>
      </c>
      <c r="H56" s="944" t="s">
        <v>1586</v>
      </c>
      <c r="I56" s="992" t="s">
        <v>1262</v>
      </c>
      <c r="J56" s="66" t="s">
        <v>1808</v>
      </c>
      <c r="K56" s="1013" t="s">
        <v>1596</v>
      </c>
      <c r="M56" s="349" t="str">
        <f t="shared" si="4"/>
        <v>○</v>
      </c>
      <c r="O56" s="156"/>
    </row>
    <row r="57" spans="1:15" ht="14.25" thickBot="1">
      <c r="A57" s="328">
        <v>57</v>
      </c>
      <c r="C57" s="351"/>
      <c r="D57" s="351"/>
      <c r="E57" s="935"/>
      <c r="F57" s="935"/>
      <c r="G57" s="972"/>
      <c r="H57" s="973" t="s">
        <v>582</v>
      </c>
      <c r="I57" s="1010" t="s">
        <v>1262</v>
      </c>
      <c r="J57" s="66" t="s">
        <v>1808</v>
      </c>
      <c r="K57" s="385"/>
      <c r="M57" s="349" t="str">
        <f t="shared" si="4"/>
        <v>○</v>
      </c>
      <c r="O57" s="156"/>
    </row>
    <row r="58" spans="1:15" ht="14.25" thickBot="1">
      <c r="A58" s="328">
        <v>58</v>
      </c>
      <c r="C58" s="351"/>
      <c r="D58" s="351"/>
      <c r="E58" s="935"/>
      <c r="F58" s="936" t="s">
        <v>1274</v>
      </c>
      <c r="G58" s="937"/>
      <c r="H58" s="938" t="s">
        <v>583</v>
      </c>
      <c r="I58" s="997" t="s">
        <v>1262</v>
      </c>
      <c r="J58" s="66" t="s">
        <v>1808</v>
      </c>
      <c r="K58" s="348" t="s">
        <v>584</v>
      </c>
      <c r="M58" s="349" t="str">
        <f t="shared" si="4"/>
        <v>○</v>
      </c>
      <c r="O58" s="156"/>
    </row>
    <row r="59" spans="1:15" ht="14.25" thickBot="1">
      <c r="A59" s="328">
        <v>59</v>
      </c>
      <c r="C59" s="351"/>
      <c r="D59" s="351"/>
      <c r="E59" s="935"/>
      <c r="F59" s="935"/>
      <c r="G59" s="957"/>
      <c r="H59" s="974" t="s">
        <v>585</v>
      </c>
      <c r="I59" s="1011" t="s">
        <v>1262</v>
      </c>
      <c r="J59" s="66" t="s">
        <v>1808</v>
      </c>
      <c r="K59" s="386"/>
      <c r="M59" s="349" t="str">
        <f t="shared" si="4"/>
        <v>○</v>
      </c>
      <c r="O59" s="156"/>
    </row>
    <row r="60" spans="1:15" ht="14.25" thickBot="1">
      <c r="A60" s="328">
        <v>60</v>
      </c>
      <c r="C60" s="351"/>
      <c r="D60" s="351"/>
      <c r="E60" s="935"/>
      <c r="F60" s="939"/>
      <c r="G60" s="940"/>
      <c r="H60" s="970" t="s">
        <v>586</v>
      </c>
      <c r="I60" s="1007" t="s">
        <v>1262</v>
      </c>
      <c r="J60" s="66" t="s">
        <v>1808</v>
      </c>
      <c r="K60" s="379"/>
      <c r="M60" s="349" t="str">
        <f t="shared" si="4"/>
        <v>○</v>
      </c>
      <c r="O60" s="156"/>
    </row>
    <row r="61" spans="1:15" ht="27.75" thickBot="1">
      <c r="A61" s="328">
        <v>61</v>
      </c>
      <c r="C61" s="351"/>
      <c r="D61" s="351"/>
      <c r="E61" s="935"/>
      <c r="F61" s="935" t="s">
        <v>1275</v>
      </c>
      <c r="G61" s="957"/>
      <c r="H61" s="938" t="s">
        <v>587</v>
      </c>
      <c r="I61" s="997" t="s">
        <v>1262</v>
      </c>
      <c r="J61" s="66" t="s">
        <v>1808</v>
      </c>
      <c r="K61" s="348"/>
      <c r="M61" s="349" t="str">
        <f t="shared" si="4"/>
        <v>○</v>
      </c>
      <c r="O61" s="156"/>
    </row>
    <row r="62" spans="1:15" ht="14.25" thickBot="1">
      <c r="A62" s="328">
        <v>62</v>
      </c>
      <c r="C62" s="351"/>
      <c r="D62" s="351"/>
      <c r="E62" s="935"/>
      <c r="F62" s="935"/>
      <c r="G62" s="957"/>
      <c r="H62" s="941" t="s">
        <v>588</v>
      </c>
      <c r="I62" s="1009" t="s">
        <v>1262</v>
      </c>
      <c r="J62" s="66" t="s">
        <v>1808</v>
      </c>
      <c r="K62" s="350"/>
      <c r="M62" s="349" t="str">
        <f t="shared" si="4"/>
        <v>○</v>
      </c>
      <c r="O62" s="156"/>
    </row>
    <row r="63" spans="1:15" ht="14.25" thickBot="1">
      <c r="A63" s="328">
        <v>63</v>
      </c>
      <c r="C63" s="351"/>
      <c r="D63" s="351"/>
      <c r="E63" s="935"/>
      <c r="F63" s="936" t="s">
        <v>1276</v>
      </c>
      <c r="G63" s="937"/>
      <c r="H63" s="942" t="s">
        <v>589</v>
      </c>
      <c r="I63" s="366" t="s">
        <v>1262</v>
      </c>
      <c r="J63" s="66" t="s">
        <v>1808</v>
      </c>
      <c r="K63" s="367"/>
      <c r="M63" s="349" t="str">
        <f t="shared" si="4"/>
        <v>○</v>
      </c>
      <c r="O63" s="156"/>
    </row>
    <row r="64" spans="1:15" ht="27.75" thickBot="1">
      <c r="A64" s="328">
        <v>64</v>
      </c>
      <c r="C64" s="351"/>
      <c r="D64" s="351"/>
      <c r="E64" s="935"/>
      <c r="F64" s="935"/>
      <c r="G64" s="943" t="s">
        <v>547</v>
      </c>
      <c r="H64" s="944" t="s">
        <v>590</v>
      </c>
      <c r="I64" s="368" t="s">
        <v>1262</v>
      </c>
      <c r="J64" s="66" t="s">
        <v>1808</v>
      </c>
      <c r="K64" s="369"/>
      <c r="M64" s="349" t="str">
        <f t="shared" si="4"/>
        <v>○</v>
      </c>
      <c r="O64" s="156"/>
    </row>
    <row r="65" spans="1:15" ht="27.75" thickBot="1">
      <c r="A65" s="328">
        <v>65</v>
      </c>
      <c r="C65" s="351"/>
      <c r="D65" s="351"/>
      <c r="E65" s="935"/>
      <c r="F65" s="939"/>
      <c r="G65" s="945" t="s">
        <v>549</v>
      </c>
      <c r="H65" s="946" t="s">
        <v>591</v>
      </c>
      <c r="I65" s="370" t="s">
        <v>1263</v>
      </c>
      <c r="J65" s="66" t="s">
        <v>1808</v>
      </c>
      <c r="K65" s="371" t="s">
        <v>592</v>
      </c>
      <c r="M65" s="349" t="str">
        <f>IF(ISBLANK(J65),"未入力あり","〇")</f>
        <v>〇</v>
      </c>
      <c r="O65" s="156"/>
    </row>
    <row r="66" spans="1:15" ht="41.25" thickBot="1">
      <c r="A66" s="328">
        <v>66</v>
      </c>
      <c r="C66" s="351"/>
      <c r="D66" s="351"/>
      <c r="E66" s="935"/>
      <c r="F66" s="935" t="s">
        <v>1277</v>
      </c>
      <c r="G66" s="957"/>
      <c r="H66" s="938" t="s">
        <v>593</v>
      </c>
      <c r="I66" s="374" t="s">
        <v>1262</v>
      </c>
      <c r="J66" s="66" t="s">
        <v>1808</v>
      </c>
      <c r="K66" s="375" t="s">
        <v>594</v>
      </c>
      <c r="M66" s="349" t="str">
        <f t="shared" si="4"/>
        <v>○</v>
      </c>
      <c r="O66" s="156"/>
    </row>
    <row r="67" spans="1:15" ht="14.25" thickBot="1">
      <c r="A67" s="328">
        <v>67</v>
      </c>
      <c r="C67" s="351"/>
      <c r="D67" s="351"/>
      <c r="E67" s="935"/>
      <c r="F67" s="935"/>
      <c r="G67" s="957"/>
      <c r="H67" s="941" t="s">
        <v>1282</v>
      </c>
      <c r="I67" s="996" t="s">
        <v>1268</v>
      </c>
      <c r="J67" s="1014" t="s">
        <v>1808</v>
      </c>
      <c r="K67" s="1015"/>
      <c r="M67" s="349" t="str">
        <f>IF(ISBLANK(J67),"未入力あり","〇")</f>
        <v>〇</v>
      </c>
      <c r="O67" s="156"/>
    </row>
    <row r="68" spans="1:15" ht="41.45" customHeight="1" thickBot="1">
      <c r="A68" s="328">
        <v>68</v>
      </c>
      <c r="C68" s="351"/>
      <c r="D68" s="351"/>
      <c r="E68" s="935"/>
      <c r="F68" s="969" t="s">
        <v>1278</v>
      </c>
      <c r="G68" s="950"/>
      <c r="H68" s="951" t="s">
        <v>1587</v>
      </c>
      <c r="I68" s="996" t="s">
        <v>1262</v>
      </c>
      <c r="J68" s="1014" t="s">
        <v>1808</v>
      </c>
      <c r="K68" s="1015"/>
      <c r="M68" s="349" t="str">
        <f t="shared" si="4"/>
        <v>○</v>
      </c>
      <c r="O68" s="156"/>
    </row>
    <row r="69" spans="1:15" ht="27.75" thickBot="1">
      <c r="A69" s="328">
        <v>69</v>
      </c>
      <c r="C69" s="351"/>
      <c r="D69" s="351"/>
      <c r="E69" s="935"/>
      <c r="F69" s="935" t="s">
        <v>1279</v>
      </c>
      <c r="G69" s="957"/>
      <c r="H69" s="951" t="s">
        <v>595</v>
      </c>
      <c r="I69" s="996" t="s">
        <v>1262</v>
      </c>
      <c r="J69" s="1014" t="s">
        <v>1808</v>
      </c>
      <c r="K69" s="1015"/>
      <c r="M69" s="349" t="str">
        <f t="shared" si="4"/>
        <v>○</v>
      </c>
      <c r="O69" s="156"/>
    </row>
    <row r="70" spans="1:15" ht="14.25" thickBot="1">
      <c r="A70" s="328">
        <v>70</v>
      </c>
      <c r="C70" s="351"/>
      <c r="D70" s="351"/>
      <c r="E70" s="935"/>
      <c r="F70" s="936" t="s">
        <v>1280</v>
      </c>
      <c r="G70" s="937"/>
      <c r="H70" s="942" t="s">
        <v>596</v>
      </c>
      <c r="I70" s="994" t="s">
        <v>1262</v>
      </c>
      <c r="J70" s="1014" t="s">
        <v>1808</v>
      </c>
      <c r="K70" s="1016" t="s">
        <v>597</v>
      </c>
      <c r="M70" s="349" t="str">
        <f t="shared" si="4"/>
        <v>○</v>
      </c>
      <c r="O70" s="156"/>
    </row>
    <row r="71" spans="1:15" ht="14.25" thickBot="1">
      <c r="A71" s="328">
        <v>71</v>
      </c>
      <c r="C71" s="351"/>
      <c r="D71" s="351"/>
      <c r="E71" s="935"/>
      <c r="F71" s="935"/>
      <c r="G71" s="971" t="s">
        <v>547</v>
      </c>
      <c r="H71" s="975" t="s">
        <v>598</v>
      </c>
      <c r="I71" s="1017" t="s">
        <v>1262</v>
      </c>
      <c r="J71" s="1014" t="s">
        <v>1808</v>
      </c>
      <c r="K71" s="1018"/>
      <c r="M71" s="349" t="str">
        <f>+IF(I71="A",IF(ISBLANK(J71),"未入力あり",IF(J71="はい","○","×")),"")</f>
        <v>○</v>
      </c>
      <c r="O71" s="156"/>
    </row>
    <row r="72" spans="1:15" ht="27.75" thickBot="1">
      <c r="A72" s="328">
        <v>72</v>
      </c>
      <c r="C72" s="351"/>
      <c r="D72" s="351"/>
      <c r="E72" s="935"/>
      <c r="F72" s="935"/>
      <c r="G72" s="976"/>
      <c r="H72" s="975" t="s">
        <v>599</v>
      </c>
      <c r="I72" s="1019" t="s">
        <v>1262</v>
      </c>
      <c r="J72" s="1020" t="str">
        <f>+IF(AND(ISBLANK(J73),ISBLANK(J74)),"",IF(OR(J73="はい",J74="はい"),"はい","いいえ "))</f>
        <v>はい</v>
      </c>
      <c r="K72" s="1018" t="s">
        <v>1597</v>
      </c>
      <c r="M72" s="349" t="str">
        <f>+IF(I72="A",IF(AND(ISBLANK(J73),ISBLANK(J74)),"未入力あり",IF(J72="はい","○","×")),"")</f>
        <v>○</v>
      </c>
      <c r="O72" s="156"/>
    </row>
    <row r="73" spans="1:15" ht="14.25" thickBot="1">
      <c r="A73" s="328">
        <v>73</v>
      </c>
      <c r="C73" s="351"/>
      <c r="D73" s="351"/>
      <c r="E73" s="935"/>
      <c r="F73" s="935"/>
      <c r="G73" s="976"/>
      <c r="H73" s="977" t="s">
        <v>600</v>
      </c>
      <c r="I73" s="389" t="s">
        <v>565</v>
      </c>
      <c r="J73" s="66" t="s">
        <v>1808</v>
      </c>
      <c r="K73" s="380"/>
      <c r="M73" s="349" t="str">
        <f>IF(ISBLANK(J73),"未入力あり","〇")</f>
        <v>〇</v>
      </c>
      <c r="O73" s="156"/>
    </row>
    <row r="74" spans="1:15" ht="14.25" thickBot="1">
      <c r="A74" s="328">
        <v>74</v>
      </c>
      <c r="C74" s="351"/>
      <c r="D74" s="351"/>
      <c r="E74" s="935"/>
      <c r="F74" s="935"/>
      <c r="G74" s="976"/>
      <c r="H74" s="978" t="s">
        <v>601</v>
      </c>
      <c r="I74" s="390" t="s">
        <v>565</v>
      </c>
      <c r="J74" s="66" t="s">
        <v>1809</v>
      </c>
      <c r="K74" s="391"/>
      <c r="M74" s="349" t="str">
        <f>IF(ISBLANK(J74),"未入力あり","〇")</f>
        <v>〇</v>
      </c>
      <c r="O74" s="156"/>
    </row>
    <row r="75" spans="1:15" ht="27" customHeight="1" thickBot="1">
      <c r="A75" s="328">
        <v>75</v>
      </c>
      <c r="C75" s="351"/>
      <c r="D75" s="351"/>
      <c r="E75" s="935"/>
      <c r="F75" s="935"/>
      <c r="G75" s="976"/>
      <c r="H75" s="944" t="s">
        <v>602</v>
      </c>
      <c r="I75" s="392" t="s">
        <v>1262</v>
      </c>
      <c r="J75" s="66" t="s">
        <v>1808</v>
      </c>
      <c r="K75" s="393"/>
      <c r="M75" s="349" t="str">
        <f>+IF(I75="A",IF(ISBLANK(J75),"未入力あり",IF(J75="はい","○","×")),"")</f>
        <v>○</v>
      </c>
      <c r="O75" s="156"/>
    </row>
    <row r="76" spans="1:15" ht="14.25" thickBot="1">
      <c r="A76" s="328">
        <v>76</v>
      </c>
      <c r="C76" s="351"/>
      <c r="D76" s="351"/>
      <c r="E76" s="935"/>
      <c r="F76" s="935"/>
      <c r="G76" s="971" t="s">
        <v>549</v>
      </c>
      <c r="H76" s="975" t="s">
        <v>603</v>
      </c>
      <c r="I76" s="1017" t="s">
        <v>1268</v>
      </c>
      <c r="J76" s="66" t="s">
        <v>1808</v>
      </c>
      <c r="K76" s="388"/>
      <c r="M76" s="349" t="str">
        <f>IF(ISBLANK(J76),"未入力あり","〇")</f>
        <v>〇</v>
      </c>
      <c r="O76" s="156"/>
    </row>
    <row r="77" spans="1:15" ht="27.75" thickBot="1">
      <c r="A77" s="328">
        <v>77</v>
      </c>
      <c r="C77" s="351"/>
      <c r="D77" s="351"/>
      <c r="E77" s="935"/>
      <c r="F77" s="935"/>
      <c r="G77" s="976"/>
      <c r="H77" s="979" t="s">
        <v>604</v>
      </c>
      <c r="I77" s="394" t="s">
        <v>1262</v>
      </c>
      <c r="J77" s="66" t="s">
        <v>1808</v>
      </c>
      <c r="K77" s="395"/>
      <c r="M77" s="349" t="str">
        <f>+IF(I77="A",IF(ISBLANK(J77),"未入力あり",IF(J77="はい","○","×")),"")</f>
        <v>○</v>
      </c>
      <c r="O77" s="156"/>
    </row>
    <row r="78" spans="1:15" ht="14.25" thickBot="1">
      <c r="A78" s="328">
        <v>78</v>
      </c>
      <c r="C78" s="351"/>
      <c r="D78" s="351"/>
      <c r="E78" s="935"/>
      <c r="F78" s="939"/>
      <c r="G78" s="972"/>
      <c r="H78" s="980" t="s">
        <v>605</v>
      </c>
      <c r="I78" s="396" t="s">
        <v>1262</v>
      </c>
      <c r="J78" s="66" t="s">
        <v>1808</v>
      </c>
      <c r="K78" s="397"/>
      <c r="M78" s="349" t="str">
        <f>+IF(I78="A",IF(ISBLANK(J78),"未入力あり",IF(J78="はい","○","×")),"")</f>
        <v>○</v>
      </c>
      <c r="O78" s="156"/>
    </row>
    <row r="79" spans="1:15" ht="32.25" customHeight="1" thickBot="1">
      <c r="A79" s="328">
        <v>79</v>
      </c>
      <c r="C79" s="351"/>
      <c r="D79" s="351"/>
      <c r="E79" s="935"/>
      <c r="F79" s="936" t="s">
        <v>1281</v>
      </c>
      <c r="G79" s="937"/>
      <c r="H79" s="938" t="s">
        <v>606</v>
      </c>
      <c r="I79" s="363" t="s">
        <v>1262</v>
      </c>
      <c r="J79" s="66" t="s">
        <v>1808</v>
      </c>
      <c r="K79" s="348" t="s">
        <v>607</v>
      </c>
      <c r="M79" s="349" t="str">
        <f>+IF(I79="A",IF(ISBLANK(J79),"未入力あり",IF(J79="はい","○","×")),"")</f>
        <v>○</v>
      </c>
      <c r="O79" s="156"/>
    </row>
    <row r="80" spans="1:15" ht="14.25" thickBot="1">
      <c r="A80" s="328">
        <v>80</v>
      </c>
      <c r="C80" s="351"/>
      <c r="D80" s="351"/>
      <c r="E80" s="939"/>
      <c r="F80" s="939"/>
      <c r="G80" s="940"/>
      <c r="H80" s="941" t="s">
        <v>608</v>
      </c>
      <c r="I80" s="365" t="s">
        <v>1262</v>
      </c>
      <c r="J80" s="66" t="s">
        <v>1808</v>
      </c>
      <c r="K80" s="350"/>
      <c r="M80" s="349" t="str">
        <f>+IF(I80="A",IF(ISBLANK(J80),"未入力あり",IF(J80="はい","○","×")),"")</f>
        <v>○</v>
      </c>
      <c r="O80" s="156"/>
    </row>
    <row r="81" spans="1:15" ht="14.25" thickBot="1">
      <c r="A81" s="328">
        <v>81</v>
      </c>
      <c r="C81" s="351"/>
      <c r="D81" s="351"/>
      <c r="E81" s="931" t="s">
        <v>1283</v>
      </c>
      <c r="F81" s="932" t="s">
        <v>609</v>
      </c>
      <c r="G81" s="933"/>
      <c r="H81" s="934"/>
      <c r="I81" s="360"/>
      <c r="J81" s="1153"/>
      <c r="K81" s="361"/>
      <c r="O81" s="156"/>
    </row>
    <row r="82" spans="1:15" ht="14.25" thickBot="1">
      <c r="A82" s="328">
        <v>82</v>
      </c>
      <c r="C82" s="351"/>
      <c r="D82" s="351"/>
      <c r="E82" s="935"/>
      <c r="F82" s="936" t="s">
        <v>1271</v>
      </c>
      <c r="G82" s="937"/>
      <c r="H82" s="942" t="s">
        <v>610</v>
      </c>
      <c r="I82" s="366" t="s">
        <v>1262</v>
      </c>
      <c r="J82" s="66" t="s">
        <v>1808</v>
      </c>
      <c r="K82" s="367"/>
      <c r="M82" s="349" t="str">
        <f>+IF(I82="A",IF(ISBLANK(J82),"未入力あり",IF(J82="はい","○","×")),"")</f>
        <v>○</v>
      </c>
      <c r="O82" s="156"/>
    </row>
    <row r="83" spans="1:15" ht="27.75" thickBot="1">
      <c r="A83" s="328">
        <v>83</v>
      </c>
      <c r="C83" s="351"/>
      <c r="D83" s="351"/>
      <c r="E83" s="935"/>
      <c r="F83" s="935"/>
      <c r="G83" s="971" t="s">
        <v>547</v>
      </c>
      <c r="H83" s="975" t="s">
        <v>611</v>
      </c>
      <c r="I83" s="387" t="s">
        <v>1262</v>
      </c>
      <c r="J83" s="66" t="s">
        <v>1808</v>
      </c>
      <c r="K83" s="388" t="s">
        <v>597</v>
      </c>
      <c r="M83" s="349" t="str">
        <f>+IF(I83="A",IF(ISBLANK(J83),"未入力あり",IF(J83="はい","○","×")),"")</f>
        <v>○</v>
      </c>
      <c r="O83" s="156"/>
    </row>
    <row r="84" spans="1:15" ht="27.75" thickBot="1">
      <c r="A84" s="328">
        <v>84</v>
      </c>
      <c r="C84" s="351"/>
      <c r="D84" s="351"/>
      <c r="E84" s="935"/>
      <c r="F84" s="935"/>
      <c r="G84" s="971" t="s">
        <v>549</v>
      </c>
      <c r="H84" s="975" t="s">
        <v>612</v>
      </c>
      <c r="I84" s="1017" t="s">
        <v>1262</v>
      </c>
      <c r="J84" s="1014" t="s">
        <v>1808</v>
      </c>
      <c r="K84" s="1018"/>
      <c r="M84" s="349" t="str">
        <f>+IF(I84="A",IF(ISBLANK(J84),"未入力あり",IF(J84="はい","○","×")),"")</f>
        <v>○</v>
      </c>
      <c r="O84" s="156"/>
    </row>
    <row r="85" spans="1:15" ht="27.75" thickBot="1">
      <c r="A85" s="328">
        <v>85</v>
      </c>
      <c r="C85" s="351"/>
      <c r="D85" s="351"/>
      <c r="E85" s="935"/>
      <c r="F85" s="935"/>
      <c r="G85" s="971" t="s">
        <v>551</v>
      </c>
      <c r="H85" s="975" t="s">
        <v>613</v>
      </c>
      <c r="I85" s="1017" t="s">
        <v>1268</v>
      </c>
      <c r="J85" s="1014" t="s">
        <v>1808</v>
      </c>
      <c r="K85" s="1018"/>
      <c r="M85" s="349" t="str">
        <f t="shared" ref="M85:M86" si="5">IF(ISBLANK(J85),"未入力あり","〇")</f>
        <v>〇</v>
      </c>
      <c r="O85" s="156"/>
    </row>
    <row r="86" spans="1:15" ht="28.15" customHeight="1" thickBot="1">
      <c r="A86" s="328">
        <v>86</v>
      </c>
      <c r="C86" s="351"/>
      <c r="D86" s="351"/>
      <c r="E86" s="935"/>
      <c r="F86" s="935"/>
      <c r="G86" s="945" t="s">
        <v>559</v>
      </c>
      <c r="H86" s="946" t="s">
        <v>614</v>
      </c>
      <c r="I86" s="993" t="s">
        <v>1268</v>
      </c>
      <c r="J86" s="1014" t="s">
        <v>1808</v>
      </c>
      <c r="K86" s="1021"/>
      <c r="M86" s="349" t="str">
        <f t="shared" si="5"/>
        <v>〇</v>
      </c>
      <c r="O86" s="156"/>
    </row>
    <row r="87" spans="1:15" ht="14.25" thickBot="1">
      <c r="A87" s="328">
        <v>87</v>
      </c>
      <c r="C87" s="351"/>
      <c r="D87" s="351"/>
      <c r="E87" s="935"/>
      <c r="F87" s="969" t="s">
        <v>1272</v>
      </c>
      <c r="G87" s="950"/>
      <c r="H87" s="951" t="s">
        <v>615</v>
      </c>
      <c r="I87" s="996" t="s">
        <v>1262</v>
      </c>
      <c r="J87" s="1014" t="s">
        <v>1808</v>
      </c>
      <c r="K87" s="1015"/>
      <c r="M87" s="349" t="str">
        <f>+IF(I87="A",IF(ISBLANK(J87),"未入力あり",IF(J87="はい","○","×")),"")</f>
        <v>○</v>
      </c>
      <c r="O87" s="156"/>
    </row>
    <row r="88" spans="1:15" ht="17.25" customHeight="1" thickBot="1">
      <c r="A88" s="328">
        <v>88</v>
      </c>
      <c r="C88" s="351"/>
      <c r="D88" s="351"/>
      <c r="E88" s="935"/>
      <c r="F88" s="935" t="s">
        <v>1273</v>
      </c>
      <c r="G88" s="957"/>
      <c r="H88" s="981" t="s">
        <v>1284</v>
      </c>
      <c r="I88" s="1022" t="s">
        <v>1262</v>
      </c>
      <c r="J88" s="1014" t="s">
        <v>1808</v>
      </c>
      <c r="K88" s="1023"/>
      <c r="M88" s="349" t="str">
        <f t="shared" si="4"/>
        <v>○</v>
      </c>
      <c r="O88" s="156"/>
    </row>
    <row r="89" spans="1:15" ht="41.25" customHeight="1" thickBot="1">
      <c r="A89" s="328">
        <v>89</v>
      </c>
      <c r="C89" s="351"/>
      <c r="D89" s="351"/>
      <c r="E89" s="935"/>
      <c r="F89" s="935"/>
      <c r="G89" s="957"/>
      <c r="H89" s="982" t="s">
        <v>1285</v>
      </c>
      <c r="I89" s="1024" t="s">
        <v>1262</v>
      </c>
      <c r="J89" s="1014" t="s">
        <v>1808</v>
      </c>
      <c r="K89" s="1023"/>
      <c r="M89" s="349" t="str">
        <f t="shared" si="4"/>
        <v>○</v>
      </c>
      <c r="O89" s="156"/>
    </row>
    <row r="90" spans="1:15" ht="27" customHeight="1" thickBot="1">
      <c r="A90" s="328">
        <v>90</v>
      </c>
      <c r="C90" s="351"/>
      <c r="D90" s="351"/>
      <c r="E90" s="935"/>
      <c r="F90" s="935"/>
      <c r="G90" s="957"/>
      <c r="H90" s="981" t="s">
        <v>1286</v>
      </c>
      <c r="I90" s="1022" t="s">
        <v>1287</v>
      </c>
      <c r="J90" s="100" t="s">
        <v>1812</v>
      </c>
      <c r="K90" s="1023"/>
      <c r="M90" s="349" t="str">
        <f>IF(ISBLANK(J90),"未入力あり","〇")</f>
        <v>〇</v>
      </c>
      <c r="O90" s="156"/>
    </row>
    <row r="91" spans="1:15" ht="27.75" thickBot="1">
      <c r="A91" s="328">
        <v>91</v>
      </c>
      <c r="C91" s="351"/>
      <c r="D91" s="351"/>
      <c r="E91" s="935"/>
      <c r="F91" s="969" t="s">
        <v>1274</v>
      </c>
      <c r="G91" s="950"/>
      <c r="H91" s="951" t="s">
        <v>616</v>
      </c>
      <c r="I91" s="996" t="s">
        <v>1268</v>
      </c>
      <c r="J91" s="1014" t="s">
        <v>1808</v>
      </c>
      <c r="K91" s="1015" t="s">
        <v>1598</v>
      </c>
      <c r="M91" s="349" t="str">
        <f>IF(ISBLANK(J91),"未入力あり","〇")</f>
        <v>〇</v>
      </c>
      <c r="O91" s="156"/>
    </row>
    <row r="92" spans="1:15" ht="27.75" thickBot="1">
      <c r="A92" s="328">
        <v>92</v>
      </c>
      <c r="C92" s="351"/>
      <c r="D92" s="351"/>
      <c r="E92" s="935"/>
      <c r="F92" s="935" t="s">
        <v>1275</v>
      </c>
      <c r="G92" s="957"/>
      <c r="H92" s="981" t="s">
        <v>617</v>
      </c>
      <c r="I92" s="1022" t="s">
        <v>1262</v>
      </c>
      <c r="J92" s="1014" t="s">
        <v>1808</v>
      </c>
      <c r="K92" s="1023"/>
      <c r="M92" s="349" t="str">
        <f t="shared" si="4"/>
        <v>○</v>
      </c>
      <c r="O92" s="156"/>
    </row>
    <row r="93" spans="1:15" ht="27.75" thickBot="1">
      <c r="A93" s="328">
        <v>93</v>
      </c>
      <c r="C93" s="351"/>
      <c r="D93" s="351"/>
      <c r="E93" s="935"/>
      <c r="F93" s="969" t="s">
        <v>1276</v>
      </c>
      <c r="G93" s="950"/>
      <c r="H93" s="951" t="s">
        <v>618</v>
      </c>
      <c r="I93" s="996" t="s">
        <v>1262</v>
      </c>
      <c r="J93" s="1014" t="s">
        <v>1808</v>
      </c>
      <c r="K93" s="1015"/>
      <c r="M93" s="349" t="str">
        <f t="shared" si="4"/>
        <v>○</v>
      </c>
      <c r="O93" s="156"/>
    </row>
    <row r="94" spans="1:15" ht="27.75" thickBot="1">
      <c r="A94" s="328">
        <v>94</v>
      </c>
      <c r="C94" s="351"/>
      <c r="D94" s="351"/>
      <c r="E94" s="935"/>
      <c r="F94" s="935" t="s">
        <v>1277</v>
      </c>
      <c r="G94" s="957"/>
      <c r="H94" s="981" t="s">
        <v>1508</v>
      </c>
      <c r="I94" s="1022" t="s">
        <v>1262</v>
      </c>
      <c r="J94" s="1014" t="s">
        <v>1808</v>
      </c>
      <c r="K94" s="1023"/>
      <c r="M94" s="349" t="str">
        <f t="shared" si="4"/>
        <v>○</v>
      </c>
      <c r="O94" s="156"/>
    </row>
    <row r="95" spans="1:15" ht="14.25" thickBot="1">
      <c r="A95" s="328">
        <v>95</v>
      </c>
      <c r="C95" s="351"/>
      <c r="D95" s="351"/>
      <c r="E95" s="935"/>
      <c r="F95" s="935"/>
      <c r="G95" s="957"/>
      <c r="H95" s="983" t="s">
        <v>1464</v>
      </c>
      <c r="I95" s="1024" t="s">
        <v>1465</v>
      </c>
      <c r="J95" s="1014" t="s">
        <v>1808</v>
      </c>
      <c r="K95" s="1025" t="s">
        <v>1559</v>
      </c>
      <c r="M95" s="349" t="str">
        <f t="shared" ref="M95" si="6">IF(ISBLANK(J95),"未入力あり","〇")</f>
        <v>〇</v>
      </c>
      <c r="O95" s="156"/>
    </row>
    <row r="96" spans="1:15" ht="32.25" customHeight="1" thickBot="1">
      <c r="A96" s="328">
        <v>96</v>
      </c>
      <c r="C96" s="351"/>
      <c r="D96" s="351"/>
      <c r="E96" s="935"/>
      <c r="F96" s="935"/>
      <c r="G96" s="957"/>
      <c r="H96" s="941" t="s">
        <v>1509</v>
      </c>
      <c r="I96" s="995" t="s">
        <v>1262</v>
      </c>
      <c r="J96" s="1014" t="s">
        <v>1808</v>
      </c>
      <c r="K96" s="1026"/>
      <c r="M96" s="349" t="str">
        <f t="shared" si="4"/>
        <v>○</v>
      </c>
      <c r="O96" s="156"/>
    </row>
    <row r="97" spans="1:21" ht="38.25" customHeight="1" thickBot="1">
      <c r="A97" s="328">
        <v>97</v>
      </c>
      <c r="C97" s="351"/>
      <c r="D97" s="351"/>
      <c r="E97" s="939"/>
      <c r="F97" s="969" t="s">
        <v>1278</v>
      </c>
      <c r="G97" s="950"/>
      <c r="H97" s="951" t="s">
        <v>619</v>
      </c>
      <c r="I97" s="996" t="s">
        <v>1262</v>
      </c>
      <c r="J97" s="1014" t="s">
        <v>1808</v>
      </c>
      <c r="K97" s="1015" t="s">
        <v>620</v>
      </c>
      <c r="M97" s="349" t="str">
        <f>+IF(I97="A",IF(ISBLANK(J97),"未入力あり",IF(J97="はい","○","×")),"")</f>
        <v>○</v>
      </c>
      <c r="O97" s="156"/>
    </row>
    <row r="98" spans="1:21" ht="39" customHeight="1" thickBot="1">
      <c r="A98" s="328">
        <v>98</v>
      </c>
      <c r="C98" s="351"/>
      <c r="D98" s="351"/>
      <c r="E98" s="931" t="s">
        <v>1288</v>
      </c>
      <c r="F98" s="932" t="s">
        <v>621</v>
      </c>
      <c r="G98" s="933"/>
      <c r="H98" s="934"/>
      <c r="I98" s="1008"/>
      <c r="J98" s="1154"/>
      <c r="K98" s="1027" t="s">
        <v>1443</v>
      </c>
      <c r="O98" s="156"/>
    </row>
    <row r="99" spans="1:21" ht="27.75" thickBot="1">
      <c r="A99" s="328">
        <v>99</v>
      </c>
      <c r="C99" s="351"/>
      <c r="D99" s="351"/>
      <c r="E99" s="935"/>
      <c r="F99" s="936" t="s">
        <v>1447</v>
      </c>
      <c r="G99" s="937"/>
      <c r="H99" s="938" t="s">
        <v>622</v>
      </c>
      <c r="I99" s="363" t="s">
        <v>1262</v>
      </c>
      <c r="J99" s="66" t="s">
        <v>1808</v>
      </c>
      <c r="K99" s="348"/>
      <c r="M99" s="349" t="str">
        <f t="shared" si="4"/>
        <v>○</v>
      </c>
      <c r="O99" s="156"/>
    </row>
    <row r="100" spans="1:21" ht="14.25" thickBot="1">
      <c r="A100" s="328">
        <v>100</v>
      </c>
      <c r="C100" s="351"/>
      <c r="D100" s="351"/>
      <c r="E100" s="935"/>
      <c r="F100" s="935"/>
      <c r="G100" s="957"/>
      <c r="H100" s="974" t="s">
        <v>623</v>
      </c>
      <c r="I100" s="399" t="s">
        <v>1262</v>
      </c>
      <c r="J100" s="66" t="s">
        <v>1808</v>
      </c>
      <c r="K100" s="386"/>
      <c r="M100" s="349" t="str">
        <f t="shared" si="4"/>
        <v>○</v>
      </c>
      <c r="O100" s="156"/>
    </row>
    <row r="101" spans="1:21" ht="27.75" thickBot="1">
      <c r="A101" s="328">
        <v>101</v>
      </c>
      <c r="C101" s="351"/>
      <c r="D101" s="351"/>
      <c r="E101" s="935"/>
      <c r="F101" s="939"/>
      <c r="G101" s="948"/>
      <c r="H101" s="984" t="s">
        <v>1792</v>
      </c>
      <c r="I101" s="400" t="s">
        <v>565</v>
      </c>
      <c r="J101" s="327">
        <v>12</v>
      </c>
      <c r="K101" s="401"/>
      <c r="M101" s="349" t="str">
        <f>IF(ISBLANK(J101),"未入力あり","〇")</f>
        <v>〇</v>
      </c>
      <c r="O101" s="156"/>
      <c r="T101" s="372"/>
      <c r="U101" s="402"/>
    </row>
    <row r="102" spans="1:21" ht="27.75" thickBot="1">
      <c r="A102" s="328">
        <v>102</v>
      </c>
      <c r="C102" s="351"/>
      <c r="D102" s="351"/>
      <c r="E102" s="935"/>
      <c r="F102" s="936" t="s">
        <v>1445</v>
      </c>
      <c r="G102" s="937"/>
      <c r="H102" s="938" t="s">
        <v>1588</v>
      </c>
      <c r="I102" s="363" t="s">
        <v>1262</v>
      </c>
      <c r="J102" s="66" t="s">
        <v>1808</v>
      </c>
      <c r="K102" s="348"/>
      <c r="M102" s="349" t="str">
        <f>+IF(I102="A",IF(ISBLANK(J102),"未入力あり",IF(J102="はい","○","×")),"")</f>
        <v>○</v>
      </c>
      <c r="O102" s="156"/>
    </row>
    <row r="103" spans="1:21" ht="14.25" thickBot="1">
      <c r="A103" s="328">
        <v>103</v>
      </c>
      <c r="C103" s="351"/>
      <c r="D103" s="351"/>
      <c r="E103" s="939"/>
      <c r="F103" s="969" t="s">
        <v>1446</v>
      </c>
      <c r="G103" s="950"/>
      <c r="H103" s="951" t="s">
        <v>624</v>
      </c>
      <c r="I103" s="374" t="s">
        <v>1263</v>
      </c>
      <c r="J103" s="66" t="s">
        <v>1809</v>
      </c>
      <c r="K103" s="375"/>
      <c r="M103" s="349" t="str">
        <f>IF(ISBLANK(J103),"未入力あり","〇")</f>
        <v>〇</v>
      </c>
      <c r="O103" s="156"/>
    </row>
    <row r="104" spans="1:21" ht="14.25" thickBot="1">
      <c r="A104" s="328">
        <v>104</v>
      </c>
      <c r="C104" s="351"/>
      <c r="D104" s="351"/>
      <c r="E104" s="931" t="s">
        <v>746</v>
      </c>
      <c r="F104" s="932" t="s">
        <v>625</v>
      </c>
      <c r="G104" s="933"/>
      <c r="H104" s="934"/>
      <c r="I104" s="360"/>
      <c r="J104" s="1153"/>
      <c r="K104" s="361"/>
      <c r="O104" s="156"/>
    </row>
    <row r="105" spans="1:21" ht="27.75" thickBot="1">
      <c r="A105" s="328">
        <v>105</v>
      </c>
      <c r="C105" s="351"/>
      <c r="D105" s="351"/>
      <c r="E105" s="935"/>
      <c r="F105" s="969" t="s">
        <v>1447</v>
      </c>
      <c r="G105" s="937"/>
      <c r="H105" s="938" t="s">
        <v>1589</v>
      </c>
      <c r="I105" s="363" t="s">
        <v>1262</v>
      </c>
      <c r="J105" s="66" t="s">
        <v>1808</v>
      </c>
      <c r="K105" s="348"/>
      <c r="M105" s="349" t="str">
        <f t="shared" si="4"/>
        <v>○</v>
      </c>
      <c r="O105" s="156"/>
    </row>
    <row r="106" spans="1:21" ht="29.45" customHeight="1" thickBot="1">
      <c r="A106" s="328">
        <v>106</v>
      </c>
      <c r="C106" s="351"/>
      <c r="D106" s="351"/>
      <c r="E106" s="935"/>
      <c r="F106" s="969" t="s">
        <v>1445</v>
      </c>
      <c r="G106" s="950"/>
      <c r="H106" s="951" t="s">
        <v>626</v>
      </c>
      <c r="I106" s="374" t="s">
        <v>1262</v>
      </c>
      <c r="J106" s="66" t="s">
        <v>1808</v>
      </c>
      <c r="K106" s="375"/>
      <c r="M106" s="349" t="str">
        <f t="shared" si="4"/>
        <v>○</v>
      </c>
      <c r="O106" s="156"/>
    </row>
    <row r="107" spans="1:21" ht="27.75" thickBot="1">
      <c r="A107" s="328">
        <v>107</v>
      </c>
      <c r="C107" s="351"/>
      <c r="D107" s="351"/>
      <c r="E107" s="935"/>
      <c r="F107" s="935" t="s">
        <v>1446</v>
      </c>
      <c r="G107" s="957"/>
      <c r="H107" s="981" t="s">
        <v>1590</v>
      </c>
      <c r="I107" s="1022" t="s">
        <v>1262</v>
      </c>
      <c r="J107" s="1014" t="s">
        <v>1808</v>
      </c>
      <c r="K107" s="1023" t="s">
        <v>1571</v>
      </c>
      <c r="M107" s="349" t="str">
        <f t="shared" si="4"/>
        <v>○</v>
      </c>
      <c r="O107" s="156"/>
    </row>
    <row r="108" spans="1:21" ht="27.75" thickBot="1">
      <c r="A108" s="328">
        <v>108</v>
      </c>
      <c r="C108" s="351"/>
      <c r="D108" s="351"/>
      <c r="E108" s="935"/>
      <c r="F108" s="935"/>
      <c r="G108" s="957"/>
      <c r="H108" s="974" t="s">
        <v>1591</v>
      </c>
      <c r="I108" s="1024" t="s">
        <v>1262</v>
      </c>
      <c r="J108" s="1014" t="s">
        <v>1808</v>
      </c>
      <c r="K108" s="982"/>
      <c r="M108" s="349" t="str">
        <f t="shared" si="4"/>
        <v>○</v>
      </c>
      <c r="O108" s="156"/>
    </row>
    <row r="109" spans="1:21" ht="14.25" thickBot="1">
      <c r="A109" s="328">
        <v>109</v>
      </c>
      <c r="C109" s="351"/>
      <c r="D109" s="351"/>
      <c r="E109" s="935"/>
      <c r="F109" s="935"/>
      <c r="G109" s="957"/>
      <c r="H109" s="974" t="s">
        <v>1507</v>
      </c>
      <c r="I109" s="1028" t="s">
        <v>1268</v>
      </c>
      <c r="J109" s="1014" t="s">
        <v>1809</v>
      </c>
      <c r="K109" s="1025"/>
      <c r="M109" s="349" t="str">
        <f t="shared" ref="M109:M117" si="7">IF(ISBLANK(J109),"未入力あり","〇")</f>
        <v>〇</v>
      </c>
      <c r="O109" s="156"/>
    </row>
    <row r="110" spans="1:21" ht="14.25" thickBot="1">
      <c r="A110" s="328">
        <v>110</v>
      </c>
      <c r="C110" s="351"/>
      <c r="D110" s="351"/>
      <c r="E110" s="935"/>
      <c r="F110" s="935"/>
      <c r="G110" s="957"/>
      <c r="H110" s="981" t="s">
        <v>1592</v>
      </c>
      <c r="I110" s="995" t="s">
        <v>1268</v>
      </c>
      <c r="J110" s="1014" t="s">
        <v>1809</v>
      </c>
      <c r="K110" s="1029" t="s">
        <v>627</v>
      </c>
      <c r="M110" s="349" t="str">
        <f t="shared" si="7"/>
        <v>〇</v>
      </c>
      <c r="O110" s="156"/>
    </row>
    <row r="111" spans="1:21" ht="88.15" customHeight="1" thickBot="1">
      <c r="A111" s="328">
        <v>111</v>
      </c>
      <c r="C111" s="351"/>
      <c r="D111" s="351"/>
      <c r="E111" s="935"/>
      <c r="F111" s="936" t="s">
        <v>1448</v>
      </c>
      <c r="G111" s="937"/>
      <c r="H111" s="938" t="s">
        <v>1593</v>
      </c>
      <c r="I111" s="997" t="s">
        <v>1289</v>
      </c>
      <c r="J111" s="1014" t="s">
        <v>1808</v>
      </c>
      <c r="K111" s="1030" t="s">
        <v>1599</v>
      </c>
      <c r="M111" s="349" t="str">
        <f>IF(AND(I111="B",J111=""),"未入力あり",IF(AND(I111="B",J111&lt;&gt;""),"〇",IF(I111="-","")))</f>
        <v>〇</v>
      </c>
      <c r="O111" s="156"/>
    </row>
    <row r="112" spans="1:21" ht="14.25" thickBot="1">
      <c r="A112" s="328">
        <v>112</v>
      </c>
      <c r="C112" s="351"/>
      <c r="D112" s="351"/>
      <c r="E112" s="935"/>
      <c r="F112" s="935"/>
      <c r="G112" s="957"/>
      <c r="H112" s="985" t="s">
        <v>628</v>
      </c>
      <c r="I112" s="1031" t="s">
        <v>1263</v>
      </c>
      <c r="J112" s="1014" t="s">
        <v>1809</v>
      </c>
      <c r="K112" s="1032" t="s">
        <v>629</v>
      </c>
      <c r="M112" s="349" t="str">
        <f t="shared" si="7"/>
        <v>〇</v>
      </c>
      <c r="O112" s="156"/>
    </row>
    <row r="113" spans="1:21" ht="27.75" thickBot="1">
      <c r="A113" s="328">
        <v>113</v>
      </c>
      <c r="C113" s="351"/>
      <c r="D113" s="351"/>
      <c r="E113" s="935"/>
      <c r="F113" s="939"/>
      <c r="G113" s="948"/>
      <c r="H113" s="960" t="s">
        <v>1594</v>
      </c>
      <c r="I113" s="1033" t="s">
        <v>568</v>
      </c>
      <c r="J113" s="1034">
        <v>0</v>
      </c>
      <c r="K113" s="1035"/>
      <c r="M113" s="349" t="str">
        <f>IF(ISBLANK(J113),"未入力あり","〇")</f>
        <v>〇</v>
      </c>
      <c r="O113" s="156"/>
      <c r="T113" s="372"/>
      <c r="U113" s="373"/>
    </row>
    <row r="114" spans="1:21" ht="14.25" thickBot="1">
      <c r="A114" s="328">
        <v>114</v>
      </c>
      <c r="C114" s="351"/>
      <c r="D114" s="351"/>
      <c r="E114" s="935"/>
      <c r="F114" s="936" t="s">
        <v>1449</v>
      </c>
      <c r="G114" s="937"/>
      <c r="H114" s="942" t="s">
        <v>630</v>
      </c>
      <c r="I114" s="1036" t="s">
        <v>1268</v>
      </c>
      <c r="J114" s="1014" t="s">
        <v>1808</v>
      </c>
      <c r="K114" s="1016"/>
      <c r="M114" s="349" t="str">
        <f t="shared" si="7"/>
        <v>〇</v>
      </c>
      <c r="O114" s="156"/>
    </row>
    <row r="115" spans="1:21" ht="14.25" thickBot="1">
      <c r="A115" s="328">
        <v>115</v>
      </c>
      <c r="C115" s="351"/>
      <c r="D115" s="351"/>
      <c r="E115" s="935"/>
      <c r="F115" s="935"/>
      <c r="G115" s="986"/>
      <c r="H115" s="941" t="s">
        <v>631</v>
      </c>
      <c r="I115" s="995" t="s">
        <v>1268</v>
      </c>
      <c r="J115" s="1014" t="s">
        <v>1808</v>
      </c>
      <c r="K115" s="1026"/>
      <c r="M115" s="349" t="str">
        <f t="shared" si="7"/>
        <v>〇</v>
      </c>
      <c r="O115" s="156"/>
    </row>
    <row r="116" spans="1:21" ht="14.25" thickBot="1">
      <c r="A116" s="328">
        <v>116</v>
      </c>
      <c r="C116" s="351"/>
      <c r="D116" s="351"/>
      <c r="E116" s="935"/>
      <c r="F116" s="935"/>
      <c r="G116" s="986"/>
      <c r="H116" s="987" t="s">
        <v>632</v>
      </c>
      <c r="I116" s="1022" t="s">
        <v>565</v>
      </c>
      <c r="J116" s="1014" t="s">
        <v>1808</v>
      </c>
      <c r="K116" s="1023" t="s">
        <v>633</v>
      </c>
      <c r="M116" s="349" t="str">
        <f>IF(ISBLANK(J116),"未入力あり","〇")</f>
        <v>〇</v>
      </c>
      <c r="O116" s="156"/>
    </row>
    <row r="117" spans="1:21" ht="78" customHeight="1" thickBot="1">
      <c r="A117" s="328">
        <v>117</v>
      </c>
      <c r="C117" s="351"/>
      <c r="D117" s="364"/>
      <c r="E117" s="939"/>
      <c r="F117" s="969" t="s">
        <v>1450</v>
      </c>
      <c r="G117" s="950"/>
      <c r="H117" s="951" t="s">
        <v>634</v>
      </c>
      <c r="I117" s="1002" t="s">
        <v>1268</v>
      </c>
      <c r="J117" s="1014" t="s">
        <v>1808</v>
      </c>
      <c r="K117" s="1015" t="s">
        <v>1451</v>
      </c>
      <c r="M117" s="349" t="str">
        <f t="shared" si="7"/>
        <v>〇</v>
      </c>
      <c r="O117" s="156"/>
    </row>
    <row r="118" spans="1:21" ht="14.25" thickBot="1">
      <c r="A118" s="328">
        <v>118</v>
      </c>
      <c r="C118" s="351"/>
      <c r="D118" s="352" t="s">
        <v>635</v>
      </c>
      <c r="E118" s="988" t="s">
        <v>636</v>
      </c>
      <c r="F118" s="989"/>
      <c r="G118" s="989"/>
      <c r="H118" s="990"/>
      <c r="I118" s="356"/>
      <c r="J118" s="1155"/>
      <c r="K118" s="357"/>
      <c r="O118" s="156"/>
    </row>
    <row r="119" spans="1:21" ht="59.25" customHeight="1" thickBot="1">
      <c r="A119" s="328">
        <v>119</v>
      </c>
      <c r="C119" s="351"/>
      <c r="D119" s="870"/>
      <c r="E119" s="1306" t="s">
        <v>1561</v>
      </c>
      <c r="F119" s="1307"/>
      <c r="G119" s="1307"/>
      <c r="H119" s="1308"/>
      <c r="I119" s="1037"/>
      <c r="J119" s="1156"/>
      <c r="K119" s="1038"/>
      <c r="O119" s="156"/>
    </row>
    <row r="120" spans="1:21" ht="14.25" thickBot="1">
      <c r="A120" s="328">
        <v>120</v>
      </c>
      <c r="C120" s="351"/>
      <c r="D120" s="351"/>
      <c r="E120" s="931" t="s">
        <v>446</v>
      </c>
      <c r="F120" s="932" t="s">
        <v>1600</v>
      </c>
      <c r="G120" s="933"/>
      <c r="H120" s="934"/>
      <c r="I120" s="1008"/>
      <c r="J120" s="1154"/>
      <c r="K120" s="1027"/>
      <c r="O120" s="156"/>
    </row>
    <row r="121" spans="1:21" ht="74.25" customHeight="1" thickBot="1">
      <c r="A121" s="328">
        <v>121</v>
      </c>
      <c r="C121" s="351"/>
      <c r="D121" s="351"/>
      <c r="E121" s="935"/>
      <c r="F121" s="936" t="s">
        <v>1444</v>
      </c>
      <c r="G121" s="937"/>
      <c r="H121" s="938" t="s">
        <v>637</v>
      </c>
      <c r="I121" s="997" t="s">
        <v>1262</v>
      </c>
      <c r="J121" s="1034">
        <v>14</v>
      </c>
      <c r="K121" s="1030" t="s">
        <v>638</v>
      </c>
      <c r="M121" s="349" t="str">
        <f t="shared" ref="M121:M126" si="8">+IF(I121="A",IF(ISBLANK(J121),"未入力あり",IF(J121&gt;=1,"○","×")),"")</f>
        <v>○</v>
      </c>
      <c r="O121" s="156"/>
      <c r="T121" s="372"/>
      <c r="U121" s="372"/>
    </row>
    <row r="122" spans="1:21" ht="67.900000000000006" customHeight="1" thickBot="1">
      <c r="A122" s="328">
        <v>122</v>
      </c>
      <c r="C122" s="916"/>
      <c r="D122" s="916"/>
      <c r="E122" s="1092"/>
      <c r="F122" s="1092"/>
      <c r="G122" s="986"/>
      <c r="H122" s="983" t="s">
        <v>1756</v>
      </c>
      <c r="I122" s="997" t="s">
        <v>1316</v>
      </c>
      <c r="J122" s="1034">
        <v>1</v>
      </c>
      <c r="K122" s="1030" t="s">
        <v>1767</v>
      </c>
      <c r="M122" s="349" t="str">
        <f t="shared" si="8"/>
        <v>○</v>
      </c>
      <c r="O122" s="156"/>
      <c r="T122" s="372"/>
      <c r="U122" s="372"/>
    </row>
    <row r="123" spans="1:21" ht="22.15" customHeight="1" thickBot="1">
      <c r="A123" s="328">
        <v>123</v>
      </c>
      <c r="C123" s="916"/>
      <c r="D123" s="916"/>
      <c r="E123" s="1092"/>
      <c r="F123" s="1092"/>
      <c r="G123" s="986"/>
      <c r="H123" s="983" t="s">
        <v>1757</v>
      </c>
      <c r="I123" s="997" t="s">
        <v>1316</v>
      </c>
      <c r="J123" s="1034">
        <v>1</v>
      </c>
      <c r="K123" s="1030"/>
      <c r="M123" s="349" t="str">
        <f t="shared" si="8"/>
        <v>○</v>
      </c>
      <c r="O123" s="156"/>
      <c r="T123" s="372"/>
      <c r="U123" s="372"/>
    </row>
    <row r="124" spans="1:21" ht="22.15" customHeight="1" thickBot="1">
      <c r="A124" s="328">
        <v>124</v>
      </c>
      <c r="C124" s="916"/>
      <c r="D124" s="916"/>
      <c r="E124" s="1092"/>
      <c r="F124" s="1092"/>
      <c r="G124" s="986"/>
      <c r="H124" s="983" t="s">
        <v>1758</v>
      </c>
      <c r="I124" s="997" t="s">
        <v>1316</v>
      </c>
      <c r="J124" s="1034">
        <v>2</v>
      </c>
      <c r="K124" s="1030"/>
      <c r="M124" s="349" t="str">
        <f t="shared" si="8"/>
        <v>○</v>
      </c>
      <c r="O124" s="156"/>
      <c r="T124" s="372"/>
      <c r="U124" s="372"/>
    </row>
    <row r="125" spans="1:21" ht="22.15" customHeight="1" thickBot="1">
      <c r="A125" s="328">
        <v>125</v>
      </c>
      <c r="C125" s="916"/>
      <c r="D125" s="916"/>
      <c r="E125" s="1092"/>
      <c r="F125" s="1092"/>
      <c r="G125" s="986"/>
      <c r="H125" s="983" t="s">
        <v>1759</v>
      </c>
      <c r="I125" s="997" t="s">
        <v>1316</v>
      </c>
      <c r="J125" s="1034">
        <v>2</v>
      </c>
      <c r="K125" s="1030"/>
      <c r="M125" s="349" t="str">
        <f t="shared" si="8"/>
        <v>○</v>
      </c>
      <c r="O125" s="156"/>
      <c r="T125" s="372"/>
      <c r="U125" s="372"/>
    </row>
    <row r="126" spans="1:21" ht="22.15" customHeight="1" thickBot="1">
      <c r="A126" s="328">
        <v>126</v>
      </c>
      <c r="C126" s="916"/>
      <c r="D126" s="916"/>
      <c r="E126" s="1092"/>
      <c r="F126" s="1092"/>
      <c r="G126" s="957"/>
      <c r="H126" s="1041" t="s">
        <v>1760</v>
      </c>
      <c r="I126" s="997" t="s">
        <v>1316</v>
      </c>
      <c r="J126" s="1034">
        <v>3</v>
      </c>
      <c r="K126" s="1030"/>
      <c r="M126" s="349" t="str">
        <f t="shared" si="8"/>
        <v>○</v>
      </c>
      <c r="O126" s="156"/>
      <c r="T126" s="372"/>
      <c r="U126" s="372"/>
    </row>
    <row r="127" spans="1:21" ht="27" customHeight="1" thickBot="1">
      <c r="A127" s="328">
        <v>127</v>
      </c>
      <c r="C127" s="351"/>
      <c r="D127" s="351"/>
      <c r="E127" s="935"/>
      <c r="F127" s="936" t="s">
        <v>1452</v>
      </c>
      <c r="G127" s="937"/>
      <c r="H127" s="938" t="s">
        <v>1290</v>
      </c>
      <c r="I127" s="997" t="s">
        <v>1262</v>
      </c>
      <c r="J127" s="1014" t="s">
        <v>1808</v>
      </c>
      <c r="K127" s="1030"/>
      <c r="M127" s="349" t="str">
        <f t="shared" ref="M127" si="9">+IF(I127="A",IF(ISBLANK(J127),"未入力あり",IF(J127="はい","○","×")),"")</f>
        <v>○</v>
      </c>
      <c r="O127" s="156"/>
      <c r="T127" s="372"/>
      <c r="U127" s="372"/>
    </row>
    <row r="128" spans="1:21" ht="14.25" thickBot="1">
      <c r="A128" s="328">
        <v>128</v>
      </c>
      <c r="C128" s="351"/>
      <c r="D128" s="351"/>
      <c r="E128" s="935"/>
      <c r="F128" s="935"/>
      <c r="G128" s="957"/>
      <c r="H128" s="974" t="s">
        <v>1291</v>
      </c>
      <c r="I128" s="1039" t="s">
        <v>1287</v>
      </c>
      <c r="J128" s="1014" t="s">
        <v>1808</v>
      </c>
      <c r="K128" s="1030"/>
      <c r="M128" s="349" t="str">
        <f>IF(ISBLANK(J128),"未入力あり","〇")</f>
        <v>〇</v>
      </c>
      <c r="O128" s="156"/>
      <c r="T128" s="372"/>
      <c r="U128" s="372"/>
    </row>
    <row r="129" spans="1:21" ht="14.25" thickBot="1">
      <c r="A129" s="328">
        <v>129</v>
      </c>
      <c r="C129" s="351"/>
      <c r="D129" s="351"/>
      <c r="E129" s="935"/>
      <c r="F129" s="935"/>
      <c r="G129" s="957"/>
      <c r="H129" s="985" t="s">
        <v>1292</v>
      </c>
      <c r="I129" s="1002" t="str">
        <f>IF(J128="いいえ","A",IF(J128="はい","-","A／-"))</f>
        <v>-</v>
      </c>
      <c r="J129" s="1034">
        <v>5</v>
      </c>
      <c r="K129" s="1040" t="s">
        <v>1510</v>
      </c>
      <c r="L129" s="873"/>
      <c r="M129" s="872" t="str">
        <f>+IF(I129="A",IF(ISBLANK(J129),"未入力あり",IF(J129&gt;=1,"○","×")),"")</f>
        <v/>
      </c>
      <c r="O129" s="156"/>
      <c r="T129" s="372"/>
      <c r="U129" s="372"/>
    </row>
    <row r="130" spans="1:21" ht="14.25" thickBot="1">
      <c r="A130" s="328">
        <v>130</v>
      </c>
      <c r="C130" s="351"/>
      <c r="D130" s="351"/>
      <c r="E130" s="935"/>
      <c r="F130" s="935"/>
      <c r="G130" s="957"/>
      <c r="H130" s="1041" t="s">
        <v>1293</v>
      </c>
      <c r="I130" s="1002" t="str">
        <f>IF(J128="いいえ","C",IF(J128="はい","-","C／-"))</f>
        <v>-</v>
      </c>
      <c r="J130" s="1034">
        <v>5</v>
      </c>
      <c r="K130" s="1040"/>
      <c r="L130" s="873"/>
      <c r="M130" s="349" t="str">
        <f t="shared" ref="M130" si="10">IF(ISBLANK(J130),"未入力あり","〇")</f>
        <v>〇</v>
      </c>
      <c r="O130" s="156"/>
      <c r="T130" s="372"/>
      <c r="U130" s="372"/>
    </row>
    <row r="131" spans="1:21" ht="92.45" customHeight="1" thickBot="1">
      <c r="A131" s="328">
        <v>131</v>
      </c>
      <c r="C131" s="351"/>
      <c r="D131" s="351"/>
      <c r="E131" s="935"/>
      <c r="F131" s="969" t="s">
        <v>1273</v>
      </c>
      <c r="G131" s="950"/>
      <c r="H131" s="951" t="s">
        <v>1601</v>
      </c>
      <c r="I131" s="996" t="s">
        <v>1262</v>
      </c>
      <c r="J131" s="1034">
        <v>7</v>
      </c>
      <c r="K131" s="1015" t="s">
        <v>747</v>
      </c>
      <c r="M131" s="349" t="str">
        <f>+IF(I131="A",IF(ISBLANK(J131),"未入力あり",IF(J131&gt;=1,"○","×")),"")</f>
        <v>○</v>
      </c>
      <c r="O131" s="156"/>
      <c r="T131" s="372"/>
      <c r="U131" s="372"/>
    </row>
    <row r="132" spans="1:21" ht="93.6" customHeight="1" thickBot="1">
      <c r="A132" s="328">
        <v>132</v>
      </c>
      <c r="C132" s="351"/>
      <c r="D132" s="351"/>
      <c r="E132" s="935"/>
      <c r="F132" s="936" t="s">
        <v>1274</v>
      </c>
      <c r="G132" s="937"/>
      <c r="H132" s="1042" t="s">
        <v>1602</v>
      </c>
      <c r="I132" s="997" t="s">
        <v>1262</v>
      </c>
      <c r="J132" s="917">
        <v>3</v>
      </c>
      <c r="K132" s="1030" t="s">
        <v>1603</v>
      </c>
      <c r="M132" s="349" t="str">
        <f>+IF(I132="A",IF(ISBLANK(J132),"未入力あり",IF(J132&gt;=1,"○","×")),"")</f>
        <v>○</v>
      </c>
      <c r="O132" s="156"/>
      <c r="T132" s="372"/>
      <c r="U132" s="372"/>
    </row>
    <row r="133" spans="1:21" ht="14.25" thickBot="1">
      <c r="A133" s="328">
        <v>133</v>
      </c>
      <c r="C133" s="351"/>
      <c r="D133" s="351"/>
      <c r="E133" s="351"/>
      <c r="F133" s="351"/>
      <c r="H133" s="964" t="s">
        <v>1644</v>
      </c>
      <c r="I133" s="382" t="s">
        <v>1263</v>
      </c>
      <c r="J133" s="327">
        <v>1</v>
      </c>
      <c r="K133" s="380"/>
      <c r="M133" s="349" t="str">
        <f t="shared" ref="M133:M134" si="11">IF(ISBLANK(J133),"未入力あり","〇")</f>
        <v>〇</v>
      </c>
      <c r="O133" s="156"/>
      <c r="T133" s="372"/>
      <c r="U133" s="372"/>
    </row>
    <row r="134" spans="1:21" ht="27.75" thickBot="1">
      <c r="A134" s="328">
        <v>134</v>
      </c>
      <c r="C134" s="351"/>
      <c r="D134" s="351"/>
      <c r="E134" s="351"/>
      <c r="F134" s="351"/>
      <c r="H134" s="987" t="s">
        <v>1453</v>
      </c>
      <c r="I134" s="398" t="s">
        <v>1263</v>
      </c>
      <c r="J134" s="327">
        <v>1</v>
      </c>
      <c r="K134" s="384"/>
      <c r="M134" s="349" t="str">
        <f t="shared" si="11"/>
        <v>〇</v>
      </c>
      <c r="O134" s="156"/>
      <c r="T134" s="372"/>
      <c r="U134" s="372"/>
    </row>
    <row r="135" spans="1:21" ht="14.25" thickBot="1">
      <c r="A135" s="328">
        <v>135</v>
      </c>
      <c r="C135" s="351"/>
      <c r="D135" s="351"/>
      <c r="E135" s="351"/>
      <c r="F135" s="351"/>
      <c r="H135" s="985" t="s">
        <v>748</v>
      </c>
      <c r="I135" s="403" t="s">
        <v>1262</v>
      </c>
      <c r="J135" s="327">
        <v>1</v>
      </c>
      <c r="K135" s="404" t="s">
        <v>639</v>
      </c>
      <c r="M135" s="349" t="str">
        <f>+IF(I135="A",IF(ISBLANK(J135),"未入力あり",IF(J135&gt;=1,"○","×")),"")</f>
        <v>○</v>
      </c>
      <c r="O135" s="156"/>
      <c r="T135" s="372"/>
      <c r="U135" s="372"/>
    </row>
    <row r="136" spans="1:21" ht="34.5" customHeight="1" thickBot="1">
      <c r="A136" s="328">
        <v>136</v>
      </c>
      <c r="C136" s="351"/>
      <c r="D136" s="351"/>
      <c r="E136" s="351"/>
      <c r="F136" s="939"/>
      <c r="G136" s="940"/>
      <c r="H136" s="960" t="s">
        <v>1294</v>
      </c>
      <c r="I136" s="1033" t="s">
        <v>1263</v>
      </c>
      <c r="J136" s="1014" t="s">
        <v>1808</v>
      </c>
      <c r="K136" s="1035"/>
      <c r="M136" s="349" t="str">
        <f t="shared" ref="M136" si="12">IF(ISBLANK(J136),"未入力あり","〇")</f>
        <v>〇</v>
      </c>
      <c r="O136" s="156"/>
      <c r="T136" s="372"/>
      <c r="U136" s="372"/>
    </row>
    <row r="137" spans="1:21" ht="69" customHeight="1" thickBot="1">
      <c r="A137" s="328">
        <v>137</v>
      </c>
      <c r="C137" s="351"/>
      <c r="D137" s="351"/>
      <c r="E137" s="351"/>
      <c r="F137" s="936" t="s">
        <v>1275</v>
      </c>
      <c r="G137" s="961"/>
      <c r="H137" s="942" t="s">
        <v>1295</v>
      </c>
      <c r="I137" s="1007" t="s">
        <v>1262</v>
      </c>
      <c r="J137" s="1014" t="s">
        <v>1808</v>
      </c>
      <c r="K137" s="1012" t="s">
        <v>1454</v>
      </c>
      <c r="M137" s="349" t="str">
        <f t="shared" ref="M137" si="13">+IF(I137="A",IF(ISBLANK(J137),"未入力あり",IF(J137&gt;=1,"○","×")),"")</f>
        <v>○</v>
      </c>
      <c r="O137" s="156"/>
      <c r="T137" s="372"/>
      <c r="U137" s="372"/>
    </row>
    <row r="138" spans="1:21" ht="14.25" thickBot="1">
      <c r="A138" s="328">
        <v>138</v>
      </c>
      <c r="C138" s="351"/>
      <c r="D138" s="351"/>
      <c r="E138" s="935"/>
      <c r="F138" s="935"/>
      <c r="G138" s="986"/>
      <c r="H138" s="974" t="s">
        <v>1296</v>
      </c>
      <c r="I138" s="1022" t="s">
        <v>1298</v>
      </c>
      <c r="J138" s="1014" t="s">
        <v>1808</v>
      </c>
      <c r="K138" s="1012"/>
      <c r="M138" s="349" t="str">
        <f t="shared" ref="M138:M140" si="14">IF(ISBLANK(J138),"未入力あり","〇")</f>
        <v>〇</v>
      </c>
      <c r="O138" s="156"/>
      <c r="T138" s="372"/>
      <c r="U138" s="372"/>
    </row>
    <row r="139" spans="1:21" ht="14.25" thickBot="1">
      <c r="A139" s="328">
        <v>139</v>
      </c>
      <c r="C139" s="351"/>
      <c r="D139" s="351"/>
      <c r="E139" s="935"/>
      <c r="F139" s="939"/>
      <c r="G139" s="948"/>
      <c r="H139" s="941" t="s">
        <v>1297</v>
      </c>
      <c r="I139" s="995" t="str">
        <f>IF(J138="いいえ","A",IF(J138="はい","-","A／-"))</f>
        <v>-</v>
      </c>
      <c r="J139" s="1034">
        <v>7</v>
      </c>
      <c r="K139" s="1012" t="s">
        <v>1455</v>
      </c>
      <c r="M139" s="872" t="str">
        <f>+IF(I139="A",IF(ISBLANK(J139),"未入力あり",IF(J139&gt;=1,"○","×")),"")</f>
        <v/>
      </c>
      <c r="O139" s="156"/>
      <c r="T139" s="372"/>
      <c r="U139" s="372"/>
    </row>
    <row r="140" spans="1:21" ht="14.25" thickBot="1">
      <c r="A140" s="328">
        <v>140</v>
      </c>
      <c r="C140" s="351"/>
      <c r="D140" s="351"/>
      <c r="E140" s="935"/>
      <c r="F140" s="939" t="s">
        <v>1276</v>
      </c>
      <c r="G140" s="940"/>
      <c r="H140" s="970" t="s">
        <v>640</v>
      </c>
      <c r="I140" s="1007" t="s">
        <v>1263</v>
      </c>
      <c r="J140" s="1034">
        <v>2</v>
      </c>
      <c r="K140" s="1012"/>
      <c r="M140" s="349" t="str">
        <f t="shared" si="14"/>
        <v>〇</v>
      </c>
      <c r="O140" s="156"/>
      <c r="T140" s="372"/>
      <c r="U140" s="373"/>
    </row>
    <row r="141" spans="1:21" ht="14.25" thickBot="1">
      <c r="A141" s="328">
        <v>141</v>
      </c>
      <c r="C141" s="351"/>
      <c r="D141" s="351"/>
      <c r="E141" s="931" t="s">
        <v>1270</v>
      </c>
      <c r="F141" s="932" t="s">
        <v>1511</v>
      </c>
      <c r="G141" s="933"/>
      <c r="H141" s="934"/>
      <c r="I141" s="1043"/>
      <c r="J141" s="1157"/>
      <c r="K141" s="1027"/>
      <c r="O141" s="156"/>
    </row>
    <row r="142" spans="1:21" ht="14.25" thickBot="1">
      <c r="A142" s="328">
        <v>142</v>
      </c>
      <c r="C142" s="916"/>
      <c r="D142" s="916"/>
      <c r="E142" s="1050"/>
      <c r="F142" s="1044" t="s">
        <v>1560</v>
      </c>
      <c r="G142" s="1045"/>
      <c r="H142" s="1046"/>
      <c r="I142" s="1047"/>
      <c r="J142" s="1158"/>
      <c r="K142" s="1048"/>
      <c r="O142" s="156"/>
    </row>
    <row r="143" spans="1:21" ht="14.25" thickBot="1">
      <c r="A143" s="328">
        <v>143</v>
      </c>
      <c r="C143" s="351"/>
      <c r="D143" s="351"/>
      <c r="E143" s="935"/>
      <c r="F143" s="936" t="s">
        <v>1444</v>
      </c>
      <c r="G143" s="937"/>
      <c r="H143" s="942" t="s">
        <v>1299</v>
      </c>
      <c r="I143" s="1036" t="str">
        <f>IF(J29="はい","A",IF(J29="いいえ","-","A／-"))</f>
        <v>A</v>
      </c>
      <c r="J143" s="1034">
        <v>3</v>
      </c>
      <c r="K143" s="1016" t="s">
        <v>1458</v>
      </c>
      <c r="M143" s="872" t="str">
        <f>+IF(I143="A",IF(ISBLANK(J143),"未入力あり",IF(J143&gt;=1,"○","×")),"")</f>
        <v>○</v>
      </c>
      <c r="O143" s="156"/>
      <c r="T143" s="372"/>
      <c r="U143" s="372"/>
    </row>
    <row r="144" spans="1:21" ht="14.25" thickBot="1">
      <c r="A144" s="328">
        <v>144</v>
      </c>
      <c r="C144" s="351"/>
      <c r="D144" s="351"/>
      <c r="E144" s="935"/>
      <c r="F144" s="935"/>
      <c r="G144" s="957"/>
      <c r="H144" s="982" t="s">
        <v>1300</v>
      </c>
      <c r="I144" s="1049" t="str">
        <f>IF(J29="はい","C",IF(J29="いいえ","-","C／-"))</f>
        <v>C</v>
      </c>
      <c r="J144" s="1014" t="s">
        <v>1808</v>
      </c>
      <c r="K144" s="1026"/>
      <c r="M144" s="349" t="str">
        <f t="shared" ref="M144:M167" si="15">IF(ISBLANK(J144),"未入力あり","〇")</f>
        <v>〇</v>
      </c>
      <c r="O144" s="156"/>
      <c r="T144" s="372"/>
      <c r="U144" s="372"/>
    </row>
    <row r="145" spans="1:21" ht="14.25" thickBot="1">
      <c r="A145" s="328">
        <v>145</v>
      </c>
      <c r="C145" s="351"/>
      <c r="D145" s="351"/>
      <c r="E145" s="935"/>
      <c r="F145" s="935"/>
      <c r="G145" s="957"/>
      <c r="H145" s="983" t="s">
        <v>1301</v>
      </c>
      <c r="I145" s="1024" t="s">
        <v>565</v>
      </c>
      <c r="J145" s="1034">
        <v>2</v>
      </c>
      <c r="K145" s="1023"/>
      <c r="M145" s="349" t="str">
        <f t="shared" si="15"/>
        <v>〇</v>
      </c>
      <c r="O145" s="156"/>
      <c r="T145" s="372"/>
      <c r="U145" s="372"/>
    </row>
    <row r="146" spans="1:21" ht="26.25" customHeight="1" thickBot="1">
      <c r="A146" s="328">
        <v>146</v>
      </c>
      <c r="C146" s="351"/>
      <c r="D146" s="351"/>
      <c r="E146" s="935"/>
      <c r="F146" s="935"/>
      <c r="G146" s="957"/>
      <c r="H146" s="983" t="s">
        <v>1463</v>
      </c>
      <c r="I146" s="1007" t="s">
        <v>565</v>
      </c>
      <c r="J146" s="100" t="s">
        <v>1813</v>
      </c>
      <c r="K146" s="1023"/>
      <c r="M146" s="349" t="str">
        <f t="shared" si="15"/>
        <v>〇</v>
      </c>
      <c r="O146" s="156"/>
      <c r="T146" s="372"/>
      <c r="U146" s="372"/>
    </row>
    <row r="147" spans="1:21" ht="14.25" thickBot="1">
      <c r="A147" s="328">
        <v>147</v>
      </c>
      <c r="C147" s="351"/>
      <c r="D147" s="351"/>
      <c r="E147" s="935"/>
      <c r="F147" s="935"/>
      <c r="G147" s="957"/>
      <c r="H147" s="974" t="s">
        <v>1304</v>
      </c>
      <c r="I147" s="994" t="str">
        <f>IF(J29="はい","A",IF(J29="いいえ","-","A／-"))</f>
        <v>A</v>
      </c>
      <c r="J147" s="1034">
        <v>3</v>
      </c>
      <c r="K147" s="1016" t="s">
        <v>1604</v>
      </c>
      <c r="M147" s="872" t="str">
        <f>+IF(I147="A",IF(ISBLANK(J147),"未入力あり",IF(J147&gt;=1,"○","×")),"")</f>
        <v>○</v>
      </c>
      <c r="O147" s="156"/>
      <c r="T147" s="372"/>
      <c r="U147" s="372"/>
    </row>
    <row r="148" spans="1:21" ht="14.25" thickBot="1">
      <c r="A148" s="328">
        <v>148</v>
      </c>
      <c r="C148" s="351"/>
      <c r="D148" s="351"/>
      <c r="E148" s="935"/>
      <c r="F148" s="935"/>
      <c r="G148" s="957"/>
      <c r="H148" s="983" t="s">
        <v>1305</v>
      </c>
      <c r="I148" s="1022" t="s">
        <v>1303</v>
      </c>
      <c r="J148" s="1034">
        <v>2</v>
      </c>
      <c r="K148" s="1025"/>
      <c r="M148" s="349" t="str">
        <f t="shared" si="15"/>
        <v>〇</v>
      </c>
      <c r="O148" s="156"/>
      <c r="T148" s="372"/>
      <c r="U148" s="372"/>
    </row>
    <row r="149" spans="1:21" ht="14.25" thickBot="1">
      <c r="A149" s="328">
        <v>149</v>
      </c>
      <c r="C149" s="351"/>
      <c r="D149" s="351"/>
      <c r="E149" s="935"/>
      <c r="F149" s="935"/>
      <c r="G149" s="957"/>
      <c r="H149" s="982" t="s">
        <v>1306</v>
      </c>
      <c r="I149" s="994" t="str">
        <f>IF(J29="はい","C",IF(J29="いいえ","-","C／-"))</f>
        <v>C</v>
      </c>
      <c r="J149" s="1014" t="s">
        <v>1809</v>
      </c>
      <c r="K149" s="1025"/>
      <c r="M149" s="349" t="str">
        <f t="shared" si="15"/>
        <v>〇</v>
      </c>
      <c r="O149" s="156"/>
      <c r="T149" s="372"/>
      <c r="U149" s="372"/>
    </row>
    <row r="150" spans="1:21" ht="14.25" thickBot="1">
      <c r="A150" s="328">
        <v>150</v>
      </c>
      <c r="C150" s="351"/>
      <c r="D150" s="351"/>
      <c r="E150" s="935"/>
      <c r="F150" s="935"/>
      <c r="G150" s="957"/>
      <c r="H150" s="983" t="s">
        <v>1307</v>
      </c>
      <c r="I150" s="1051" t="s">
        <v>1303</v>
      </c>
      <c r="J150" s="1034">
        <v>0</v>
      </c>
      <c r="K150" s="1025"/>
      <c r="M150" s="349" t="str">
        <f t="shared" si="15"/>
        <v>〇</v>
      </c>
      <c r="O150" s="156"/>
      <c r="T150" s="372"/>
      <c r="U150" s="372"/>
    </row>
    <row r="151" spans="1:21" ht="24.75" customHeight="1" thickBot="1">
      <c r="A151" s="328">
        <v>151</v>
      </c>
      <c r="C151" s="351"/>
      <c r="D151" s="351"/>
      <c r="E151" s="935"/>
      <c r="F151" s="935"/>
      <c r="G151" s="957"/>
      <c r="H151" s="983" t="s">
        <v>1463</v>
      </c>
      <c r="I151" s="995" t="s">
        <v>1303</v>
      </c>
      <c r="J151" s="100" t="s">
        <v>1810</v>
      </c>
      <c r="K151" s="1025"/>
      <c r="M151" s="349" t="str">
        <f t="shared" si="15"/>
        <v>〇</v>
      </c>
      <c r="O151" s="156"/>
      <c r="T151" s="372"/>
      <c r="U151" s="372"/>
    </row>
    <row r="152" spans="1:21" ht="14.25" thickBot="1">
      <c r="A152" s="328">
        <v>152</v>
      </c>
      <c r="C152" s="351"/>
      <c r="D152" s="351"/>
      <c r="E152" s="935"/>
      <c r="F152" s="935"/>
      <c r="G152" s="957"/>
      <c r="H152" s="974" t="s">
        <v>1605</v>
      </c>
      <c r="I152" s="994" t="str">
        <f>IF(J29="はい","C",IF(J29="いいえ","-","C／-"))</f>
        <v>C</v>
      </c>
      <c r="J152" s="1034">
        <v>1</v>
      </c>
      <c r="K152" s="1025"/>
      <c r="M152" s="349" t="str">
        <f t="shared" si="15"/>
        <v>〇</v>
      </c>
      <c r="O152" s="156"/>
      <c r="T152" s="372"/>
      <c r="U152" s="372"/>
    </row>
    <row r="153" spans="1:21" ht="14.25" thickBot="1">
      <c r="A153" s="328">
        <v>153</v>
      </c>
      <c r="C153" s="351"/>
      <c r="D153" s="351"/>
      <c r="E153" s="935"/>
      <c r="F153" s="935"/>
      <c r="G153" s="957"/>
      <c r="H153" s="983" t="s">
        <v>1308</v>
      </c>
      <c r="I153" s="1009" t="s">
        <v>1303</v>
      </c>
      <c r="J153" s="1034">
        <v>1</v>
      </c>
      <c r="K153" s="1025"/>
      <c r="M153" s="349" t="str">
        <f t="shared" si="15"/>
        <v>〇</v>
      </c>
      <c r="O153" s="156"/>
      <c r="T153" s="372"/>
      <c r="U153" s="372"/>
    </row>
    <row r="154" spans="1:21" ht="14.25" thickBot="1">
      <c r="A154" s="328">
        <v>154</v>
      </c>
      <c r="C154" s="351"/>
      <c r="D154" s="351"/>
      <c r="E154" s="935"/>
      <c r="F154" s="935"/>
      <c r="G154" s="957"/>
      <c r="H154" s="982" t="s">
        <v>1309</v>
      </c>
      <c r="I154" s="994" t="str">
        <f>IF(J29="はい","C",IF(J29="いいえ","-","C／-"))</f>
        <v>C</v>
      </c>
      <c r="J154" s="1034">
        <v>0</v>
      </c>
      <c r="K154" s="1025"/>
      <c r="M154" s="349" t="str">
        <f t="shared" si="15"/>
        <v>〇</v>
      </c>
      <c r="O154" s="156"/>
      <c r="T154" s="372"/>
      <c r="U154" s="372"/>
    </row>
    <row r="155" spans="1:21" ht="14.25" thickBot="1">
      <c r="A155" s="328">
        <v>155</v>
      </c>
      <c r="C155" s="351"/>
      <c r="D155" s="351"/>
      <c r="E155" s="935"/>
      <c r="F155" s="935"/>
      <c r="G155" s="957"/>
      <c r="H155" s="983" t="s">
        <v>1324</v>
      </c>
      <c r="I155" s="1024" t="s">
        <v>1303</v>
      </c>
      <c r="J155" s="1034">
        <v>0</v>
      </c>
      <c r="K155" s="1025"/>
      <c r="M155" s="349" t="str">
        <f t="shared" si="15"/>
        <v>〇</v>
      </c>
      <c r="O155" s="156"/>
      <c r="T155" s="372"/>
      <c r="U155" s="372"/>
    </row>
    <row r="156" spans="1:21" ht="24.75" customHeight="1" thickBot="1">
      <c r="A156" s="328">
        <v>156</v>
      </c>
      <c r="C156" s="351"/>
      <c r="D156" s="351"/>
      <c r="E156" s="935"/>
      <c r="F156" s="935"/>
      <c r="G156" s="957"/>
      <c r="H156" s="987" t="s">
        <v>1463</v>
      </c>
      <c r="I156" s="1022" t="s">
        <v>1303</v>
      </c>
      <c r="J156" s="100" t="s">
        <v>1810</v>
      </c>
      <c r="K156" s="1025"/>
      <c r="M156" s="349" t="str">
        <f t="shared" si="15"/>
        <v>〇</v>
      </c>
      <c r="O156" s="156"/>
      <c r="T156" s="372"/>
      <c r="U156" s="372"/>
    </row>
    <row r="157" spans="1:21" ht="14.25" thickBot="1">
      <c r="A157" s="328">
        <v>157</v>
      </c>
      <c r="C157" s="351"/>
      <c r="D157" s="351"/>
      <c r="E157" s="935"/>
      <c r="F157" s="1052" t="s">
        <v>1452</v>
      </c>
      <c r="G157" s="961"/>
      <c r="H157" s="1053" t="s">
        <v>642</v>
      </c>
      <c r="I157" s="994" t="s">
        <v>1262</v>
      </c>
      <c r="J157" s="1034">
        <v>4</v>
      </c>
      <c r="K157" s="1025" t="s">
        <v>641</v>
      </c>
      <c r="M157" s="349" t="str">
        <f t="shared" ref="M157:M168" si="16">+IF(I157="A",IF(ISBLANK(J157),"未入力あり",IF(J157&gt;=1,"○","×")),"")</f>
        <v>○</v>
      </c>
      <c r="O157" s="156"/>
      <c r="T157" s="372"/>
      <c r="U157" s="372"/>
    </row>
    <row r="158" spans="1:21" ht="14.25" thickBot="1">
      <c r="A158" s="328">
        <v>158</v>
      </c>
      <c r="C158" s="351"/>
      <c r="D158" s="351"/>
      <c r="E158" s="935"/>
      <c r="F158" s="935"/>
      <c r="G158" s="957"/>
      <c r="H158" s="1054" t="s">
        <v>1308</v>
      </c>
      <c r="I158" s="1024" t="s">
        <v>1303</v>
      </c>
      <c r="J158" s="1034">
        <v>0</v>
      </c>
      <c r="K158" s="1025"/>
      <c r="M158" s="349" t="str">
        <f t="shared" si="15"/>
        <v>〇</v>
      </c>
      <c r="O158" s="156"/>
      <c r="T158" s="372"/>
      <c r="U158" s="372"/>
    </row>
    <row r="159" spans="1:21" ht="14.25" thickBot="1">
      <c r="A159" s="328">
        <v>159</v>
      </c>
      <c r="C159" s="351"/>
      <c r="D159" s="351"/>
      <c r="E159" s="935"/>
      <c r="F159" s="935"/>
      <c r="G159" s="957"/>
      <c r="H159" s="982" t="s">
        <v>1314</v>
      </c>
      <c r="I159" s="1024" t="s">
        <v>1313</v>
      </c>
      <c r="J159" s="1014" t="s">
        <v>1808</v>
      </c>
      <c r="K159" s="1025"/>
      <c r="M159" s="349" t="str">
        <f t="shared" si="15"/>
        <v>〇</v>
      </c>
      <c r="O159" s="156"/>
      <c r="T159" s="372"/>
      <c r="U159" s="372"/>
    </row>
    <row r="160" spans="1:21" ht="14.25" thickBot="1">
      <c r="A160" s="328">
        <v>160</v>
      </c>
      <c r="C160" s="351"/>
      <c r="D160" s="351"/>
      <c r="E160" s="935"/>
      <c r="F160" s="935"/>
      <c r="G160" s="957"/>
      <c r="H160" s="983" t="s">
        <v>1322</v>
      </c>
      <c r="I160" s="1024" t="s">
        <v>1303</v>
      </c>
      <c r="J160" s="1034">
        <v>2</v>
      </c>
      <c r="K160" s="1025"/>
      <c r="M160" s="349" t="str">
        <f t="shared" si="15"/>
        <v>〇</v>
      </c>
      <c r="O160" s="156"/>
      <c r="T160" s="372"/>
      <c r="U160" s="372"/>
    </row>
    <row r="161" spans="1:21" ht="14.25" thickBot="1">
      <c r="A161" s="328">
        <v>161</v>
      </c>
      <c r="C161" s="351"/>
      <c r="D161" s="351"/>
      <c r="E161" s="935"/>
      <c r="F161" s="935"/>
      <c r="G161" s="957"/>
      <c r="H161" s="983" t="s">
        <v>1323</v>
      </c>
      <c r="I161" s="1024" t="s">
        <v>1303</v>
      </c>
      <c r="J161" s="1034">
        <v>1</v>
      </c>
      <c r="K161" s="1025"/>
      <c r="M161" s="349" t="str">
        <f t="shared" si="15"/>
        <v>〇</v>
      </c>
      <c r="O161" s="156"/>
      <c r="T161" s="372"/>
      <c r="U161" s="372"/>
    </row>
    <row r="162" spans="1:21" ht="14.25" thickBot="1">
      <c r="A162" s="328">
        <v>162</v>
      </c>
      <c r="C162" s="351"/>
      <c r="D162" s="351"/>
      <c r="E162" s="935"/>
      <c r="F162" s="935"/>
      <c r="G162" s="957"/>
      <c r="H162" s="1054" t="s">
        <v>1463</v>
      </c>
      <c r="I162" s="1022" t="s">
        <v>1303</v>
      </c>
      <c r="J162" s="100">
        <v>1</v>
      </c>
      <c r="K162" s="1025"/>
      <c r="M162" s="349" t="str">
        <f t="shared" si="15"/>
        <v>〇</v>
      </c>
      <c r="O162" s="156"/>
      <c r="T162" s="372"/>
      <c r="U162" s="372"/>
    </row>
    <row r="163" spans="1:21" ht="14.25" thickBot="1">
      <c r="A163" s="328">
        <v>163</v>
      </c>
      <c r="C163" s="351"/>
      <c r="D163" s="351"/>
      <c r="E163" s="935"/>
      <c r="F163" s="935"/>
      <c r="G163" s="957"/>
      <c r="H163" s="942" t="s">
        <v>643</v>
      </c>
      <c r="I163" s="994" t="s">
        <v>1262</v>
      </c>
      <c r="J163" s="1034">
        <v>1</v>
      </c>
      <c r="K163" s="1025" t="s">
        <v>641</v>
      </c>
      <c r="M163" s="349" t="str">
        <f>+IF(I163="A",IF(ISBLANK(J163),"未入力あり",IF(J163&gt;=1,"○","×")),"")</f>
        <v>○</v>
      </c>
      <c r="O163" s="156"/>
      <c r="T163" s="372"/>
      <c r="U163" s="372"/>
    </row>
    <row r="164" spans="1:21" ht="14.25" thickBot="1">
      <c r="A164" s="328">
        <v>164</v>
      </c>
      <c r="C164" s="351"/>
      <c r="D164" s="351"/>
      <c r="E164" s="935"/>
      <c r="F164" s="935"/>
      <c r="G164" s="957"/>
      <c r="H164" s="974" t="s">
        <v>1310</v>
      </c>
      <c r="I164" s="1024" t="s">
        <v>1459</v>
      </c>
      <c r="J164" s="1014" t="s">
        <v>1808</v>
      </c>
      <c r="K164" s="1025"/>
      <c r="M164" s="349" t="str">
        <f t="shared" si="15"/>
        <v>〇</v>
      </c>
      <c r="O164" s="156"/>
      <c r="T164" s="372"/>
      <c r="U164" s="372"/>
    </row>
    <row r="165" spans="1:21" ht="14.25" thickBot="1">
      <c r="A165" s="328">
        <v>165</v>
      </c>
      <c r="C165" s="351"/>
      <c r="D165" s="351"/>
      <c r="E165" s="935"/>
      <c r="F165" s="935"/>
      <c r="G165" s="957"/>
      <c r="H165" s="983" t="s">
        <v>1311</v>
      </c>
      <c r="I165" s="1024" t="s">
        <v>1441</v>
      </c>
      <c r="J165" s="1034">
        <v>0</v>
      </c>
      <c r="K165" s="1025"/>
      <c r="M165" s="349" t="str">
        <f t="shared" si="15"/>
        <v>〇</v>
      </c>
      <c r="O165" s="156"/>
      <c r="T165" s="372"/>
      <c r="U165" s="372"/>
    </row>
    <row r="166" spans="1:21" ht="14.25" thickBot="1">
      <c r="A166" s="328">
        <v>166</v>
      </c>
      <c r="C166" s="351"/>
      <c r="D166" s="351"/>
      <c r="E166" s="935"/>
      <c r="F166" s="935"/>
      <c r="G166" s="957"/>
      <c r="H166" s="983" t="s">
        <v>1312</v>
      </c>
      <c r="I166" s="1024" t="s">
        <v>1441</v>
      </c>
      <c r="J166" s="1034">
        <v>1</v>
      </c>
      <c r="K166" s="1025"/>
      <c r="M166" s="349" t="str">
        <f t="shared" si="15"/>
        <v>〇</v>
      </c>
      <c r="O166" s="156"/>
      <c r="T166" s="372"/>
      <c r="U166" s="372"/>
    </row>
    <row r="167" spans="1:21" ht="14.25" thickBot="1">
      <c r="A167" s="328">
        <v>167</v>
      </c>
      <c r="C167" s="351"/>
      <c r="D167" s="351"/>
      <c r="E167" s="935"/>
      <c r="F167" s="935"/>
      <c r="G167" s="957"/>
      <c r="H167" s="1041" t="s">
        <v>1463</v>
      </c>
      <c r="I167" s="1009" t="s">
        <v>565</v>
      </c>
      <c r="J167" s="100" t="s">
        <v>1810</v>
      </c>
      <c r="K167" s="1029"/>
      <c r="M167" s="349" t="str">
        <f t="shared" si="15"/>
        <v>〇</v>
      </c>
      <c r="O167" s="156"/>
      <c r="T167" s="372"/>
      <c r="U167" s="372"/>
    </row>
    <row r="168" spans="1:21" ht="14.25" thickBot="1">
      <c r="A168" s="328">
        <v>168</v>
      </c>
      <c r="C168" s="351"/>
      <c r="D168" s="351"/>
      <c r="E168" s="935"/>
      <c r="F168" s="936" t="s">
        <v>1456</v>
      </c>
      <c r="G168" s="937"/>
      <c r="H168" s="942" t="s">
        <v>644</v>
      </c>
      <c r="I168" s="994" t="s">
        <v>1262</v>
      </c>
      <c r="J168" s="1034">
        <v>1</v>
      </c>
      <c r="K168" s="1030" t="s">
        <v>641</v>
      </c>
      <c r="M168" s="349" t="str">
        <f t="shared" si="16"/>
        <v>○</v>
      </c>
      <c r="O168" s="156"/>
      <c r="T168" s="372"/>
      <c r="U168" s="372"/>
    </row>
    <row r="169" spans="1:21" ht="14.25" thickBot="1">
      <c r="A169" s="328">
        <v>169</v>
      </c>
      <c r="C169" s="351"/>
      <c r="D169" s="351"/>
      <c r="E169" s="935"/>
      <c r="F169" s="935"/>
      <c r="G169" s="957"/>
      <c r="H169" s="974" t="s">
        <v>1315</v>
      </c>
      <c r="I169" s="1022" t="s">
        <v>1316</v>
      </c>
      <c r="J169" s="1034">
        <v>1</v>
      </c>
      <c r="K169" s="1025" t="s">
        <v>641</v>
      </c>
      <c r="M169" s="349" t="str">
        <f>+IF(I169="A",IF(ISBLANK(J169),"未入力あり",IF(J169&gt;=1,"○","×")),"")</f>
        <v>○</v>
      </c>
      <c r="O169" s="156"/>
      <c r="T169" s="372"/>
      <c r="U169" s="372"/>
    </row>
    <row r="170" spans="1:21" ht="14.25" thickBot="1">
      <c r="A170" s="328">
        <v>170</v>
      </c>
      <c r="C170" s="351"/>
      <c r="D170" s="351"/>
      <c r="E170" s="935"/>
      <c r="F170" s="935"/>
      <c r="G170" s="957"/>
      <c r="H170" s="983" t="s">
        <v>1318</v>
      </c>
      <c r="I170" s="1024" t="s">
        <v>1441</v>
      </c>
      <c r="J170" s="1034">
        <v>0</v>
      </c>
      <c r="K170" s="1025"/>
      <c r="M170" s="349" t="str">
        <f t="shared" ref="M170:M208" si="17">IF(ISBLANK(J170),"未入力あり","〇")</f>
        <v>〇</v>
      </c>
      <c r="O170" s="156"/>
      <c r="T170" s="372"/>
      <c r="U170" s="372"/>
    </row>
    <row r="171" spans="1:21" ht="14.25" thickBot="1">
      <c r="A171" s="328">
        <v>171</v>
      </c>
      <c r="C171" s="351"/>
      <c r="D171" s="351"/>
      <c r="E171" s="935"/>
      <c r="F171" s="935"/>
      <c r="G171" s="957"/>
      <c r="H171" s="983" t="s">
        <v>1319</v>
      </c>
      <c r="I171" s="1024" t="s">
        <v>1441</v>
      </c>
      <c r="J171" s="1034">
        <v>1</v>
      </c>
      <c r="K171" s="1025"/>
      <c r="M171" s="349" t="str">
        <f t="shared" si="17"/>
        <v>〇</v>
      </c>
      <c r="O171" s="156"/>
      <c r="T171" s="372"/>
      <c r="U171" s="372"/>
    </row>
    <row r="172" spans="1:21" ht="14.25" thickBot="1">
      <c r="A172" s="328">
        <v>172</v>
      </c>
      <c r="C172" s="351"/>
      <c r="D172" s="351"/>
      <c r="E172" s="935"/>
      <c r="F172" s="935"/>
      <c r="G172" s="957"/>
      <c r="H172" s="983" t="s">
        <v>1320</v>
      </c>
      <c r="I172" s="1024" t="s">
        <v>1441</v>
      </c>
      <c r="J172" s="1034">
        <v>0</v>
      </c>
      <c r="K172" s="1025"/>
      <c r="M172" s="349" t="str">
        <f t="shared" si="17"/>
        <v>〇</v>
      </c>
      <c r="O172" s="156"/>
      <c r="T172" s="372"/>
      <c r="U172" s="372"/>
    </row>
    <row r="173" spans="1:21" ht="14.25" thickBot="1">
      <c r="A173" s="328">
        <v>173</v>
      </c>
      <c r="C173" s="351"/>
      <c r="D173" s="351"/>
      <c r="E173" s="351"/>
      <c r="F173" s="935"/>
      <c r="G173" s="957"/>
      <c r="H173" s="987" t="s">
        <v>1463</v>
      </c>
      <c r="I173" s="1022" t="s">
        <v>1441</v>
      </c>
      <c r="J173" s="100" t="s">
        <v>1810</v>
      </c>
      <c r="K173" s="1025"/>
      <c r="M173" s="349" t="str">
        <f t="shared" si="17"/>
        <v>〇</v>
      </c>
      <c r="O173" s="156"/>
      <c r="T173" s="372"/>
      <c r="U173" s="372"/>
    </row>
    <row r="174" spans="1:21" ht="14.25" thickBot="1">
      <c r="A174" s="328">
        <v>174</v>
      </c>
      <c r="C174" s="351"/>
      <c r="D174" s="351"/>
      <c r="E174" s="351"/>
      <c r="F174" s="936" t="s">
        <v>1448</v>
      </c>
      <c r="G174" s="937"/>
      <c r="H174" s="942" t="s">
        <v>645</v>
      </c>
      <c r="I174" s="994" t="s">
        <v>1313</v>
      </c>
      <c r="J174" s="1034">
        <v>1</v>
      </c>
      <c r="K174" s="1025"/>
      <c r="M174" s="349" t="str">
        <f t="shared" si="17"/>
        <v>〇</v>
      </c>
      <c r="O174" s="156"/>
      <c r="T174" s="372"/>
      <c r="U174" s="372"/>
    </row>
    <row r="175" spans="1:21" ht="14.25" thickBot="1">
      <c r="A175" s="328">
        <v>175</v>
      </c>
      <c r="C175" s="351"/>
      <c r="D175" s="351"/>
      <c r="E175" s="351"/>
      <c r="F175" s="935"/>
      <c r="G175" s="957"/>
      <c r="H175" s="981" t="s">
        <v>1317</v>
      </c>
      <c r="I175" s="1024" t="s">
        <v>1459</v>
      </c>
      <c r="J175" s="1014" t="s">
        <v>1808</v>
      </c>
      <c r="K175" s="1025"/>
      <c r="M175" s="349" t="str">
        <f t="shared" si="17"/>
        <v>〇</v>
      </c>
      <c r="O175" s="156"/>
      <c r="T175" s="372"/>
      <c r="U175" s="372"/>
    </row>
    <row r="176" spans="1:21" ht="14.25" thickBot="1">
      <c r="A176" s="328">
        <v>176</v>
      </c>
      <c r="C176" s="351"/>
      <c r="D176" s="351"/>
      <c r="E176" s="351"/>
      <c r="F176" s="935"/>
      <c r="G176" s="957"/>
      <c r="H176" s="983" t="s">
        <v>1321</v>
      </c>
      <c r="I176" s="1024" t="s">
        <v>1441</v>
      </c>
      <c r="J176" s="1034">
        <v>1</v>
      </c>
      <c r="K176" s="1025"/>
      <c r="M176" s="349" t="str">
        <f t="shared" si="17"/>
        <v>〇</v>
      </c>
      <c r="O176" s="156"/>
      <c r="T176" s="372"/>
      <c r="U176" s="372"/>
    </row>
    <row r="177" spans="1:21" ht="14.25" thickBot="1">
      <c r="A177" s="328">
        <v>177</v>
      </c>
      <c r="C177" s="351"/>
      <c r="D177" s="351"/>
      <c r="E177" s="351"/>
      <c r="F177" s="935"/>
      <c r="G177" s="957"/>
      <c r="H177" s="987" t="s">
        <v>1302</v>
      </c>
      <c r="I177" s="1022" t="s">
        <v>1441</v>
      </c>
      <c r="J177" s="1034">
        <v>0</v>
      </c>
      <c r="K177" s="1025"/>
      <c r="M177" s="349" t="str">
        <f t="shared" si="17"/>
        <v>〇</v>
      </c>
      <c r="O177" s="156"/>
      <c r="T177" s="372"/>
      <c r="U177" s="372"/>
    </row>
    <row r="178" spans="1:21" ht="14.25" thickBot="1">
      <c r="A178" s="328">
        <v>178</v>
      </c>
      <c r="C178" s="351"/>
      <c r="D178" s="351"/>
      <c r="E178" s="351"/>
      <c r="F178" s="935"/>
      <c r="G178" s="957"/>
      <c r="H178" s="942" t="s">
        <v>646</v>
      </c>
      <c r="I178" s="994" t="s">
        <v>1459</v>
      </c>
      <c r="J178" s="1034">
        <v>2</v>
      </c>
      <c r="K178" s="1025"/>
      <c r="M178" s="349" t="str">
        <f t="shared" si="17"/>
        <v>〇</v>
      </c>
      <c r="O178" s="156"/>
      <c r="T178" s="372"/>
      <c r="U178" s="372"/>
    </row>
    <row r="179" spans="1:21" ht="14.25" thickBot="1">
      <c r="A179" s="328">
        <v>179</v>
      </c>
      <c r="C179" s="351"/>
      <c r="D179" s="351"/>
      <c r="E179" s="351"/>
      <c r="F179" s="935"/>
      <c r="G179" s="957"/>
      <c r="H179" s="981" t="s">
        <v>1325</v>
      </c>
      <c r="I179" s="1022" t="s">
        <v>1459</v>
      </c>
      <c r="J179" s="1014" t="s">
        <v>1808</v>
      </c>
      <c r="K179" s="1025"/>
      <c r="M179" s="349" t="str">
        <f t="shared" si="17"/>
        <v>〇</v>
      </c>
      <c r="O179" s="156"/>
      <c r="T179" s="372"/>
      <c r="U179" s="372"/>
    </row>
    <row r="180" spans="1:21" ht="14.25" thickBot="1">
      <c r="A180" s="328">
        <v>180</v>
      </c>
      <c r="C180" s="351"/>
      <c r="D180" s="351"/>
      <c r="E180" s="351"/>
      <c r="F180" s="935"/>
      <c r="G180" s="957"/>
      <c r="H180" s="983" t="s">
        <v>1327</v>
      </c>
      <c r="I180" s="1024" t="s">
        <v>1263</v>
      </c>
      <c r="J180" s="1034">
        <v>2</v>
      </c>
      <c r="K180" s="1025"/>
      <c r="M180" s="349" t="str">
        <f t="shared" si="17"/>
        <v>〇</v>
      </c>
      <c r="O180" s="156"/>
      <c r="T180" s="372"/>
      <c r="U180" s="372"/>
    </row>
    <row r="181" spans="1:21" ht="14.25" thickBot="1">
      <c r="A181" s="328">
        <v>181</v>
      </c>
      <c r="C181" s="351"/>
      <c r="D181" s="351"/>
      <c r="E181" s="351"/>
      <c r="F181" s="935"/>
      <c r="G181" s="957"/>
      <c r="H181" s="982" t="s">
        <v>1326</v>
      </c>
      <c r="I181" s="1055" t="s">
        <v>1459</v>
      </c>
      <c r="J181" s="1014" t="s">
        <v>1808</v>
      </c>
      <c r="K181" s="1025"/>
      <c r="M181" s="349" t="str">
        <f t="shared" si="17"/>
        <v>〇</v>
      </c>
      <c r="O181" s="156"/>
      <c r="T181" s="372"/>
      <c r="U181" s="372"/>
    </row>
    <row r="182" spans="1:21" ht="14.25" thickBot="1">
      <c r="A182" s="328">
        <v>182</v>
      </c>
      <c r="C182" s="351"/>
      <c r="D182" s="351"/>
      <c r="E182" s="351"/>
      <c r="F182" s="939"/>
      <c r="G182" s="948"/>
      <c r="H182" s="1041" t="s">
        <v>1327</v>
      </c>
      <c r="I182" s="1056" t="s">
        <v>1263</v>
      </c>
      <c r="J182" s="1034">
        <v>1</v>
      </c>
      <c r="K182" s="1025"/>
      <c r="M182" s="349" t="str">
        <f t="shared" si="17"/>
        <v>〇</v>
      </c>
      <c r="O182" s="156"/>
      <c r="T182" s="372"/>
      <c r="U182" s="372"/>
    </row>
    <row r="183" spans="1:21" ht="14.25" thickBot="1">
      <c r="A183" s="328">
        <v>183</v>
      </c>
      <c r="C183" s="351"/>
      <c r="D183" s="351"/>
      <c r="E183" s="351"/>
      <c r="F183" s="935" t="s">
        <v>1449</v>
      </c>
      <c r="G183" s="957"/>
      <c r="H183" s="942" t="s">
        <v>647</v>
      </c>
      <c r="I183" s="1022" t="s">
        <v>1264</v>
      </c>
      <c r="J183" s="1034">
        <v>1</v>
      </c>
      <c r="K183" s="1025"/>
      <c r="M183" s="349" t="str">
        <f t="shared" si="17"/>
        <v>〇</v>
      </c>
      <c r="O183" s="156"/>
      <c r="T183" s="372"/>
      <c r="U183" s="372"/>
    </row>
    <row r="184" spans="1:21" ht="14.25" thickBot="1">
      <c r="A184" s="328">
        <v>184</v>
      </c>
      <c r="C184" s="351"/>
      <c r="D184" s="351"/>
      <c r="E184" s="351"/>
      <c r="F184" s="935"/>
      <c r="G184" s="957"/>
      <c r="H184" s="982" t="s">
        <v>1328</v>
      </c>
      <c r="I184" s="1057" t="s">
        <v>1303</v>
      </c>
      <c r="J184" s="1014" t="s">
        <v>1808</v>
      </c>
      <c r="K184" s="1025"/>
      <c r="M184" s="349" t="str">
        <f t="shared" si="17"/>
        <v>〇</v>
      </c>
      <c r="O184" s="156"/>
      <c r="T184" s="372"/>
      <c r="U184" s="372"/>
    </row>
    <row r="185" spans="1:21" ht="14.25" thickBot="1">
      <c r="A185" s="328">
        <v>185</v>
      </c>
      <c r="C185" s="351"/>
      <c r="D185" s="351"/>
      <c r="E185" s="351"/>
      <c r="F185" s="935"/>
      <c r="G185" s="957"/>
      <c r="H185" s="1054" t="s">
        <v>1330</v>
      </c>
      <c r="I185" s="1057" t="s">
        <v>1303</v>
      </c>
      <c r="J185" s="1034">
        <v>1</v>
      </c>
      <c r="K185" s="1025"/>
      <c r="M185" s="349" t="str">
        <f t="shared" si="17"/>
        <v>〇</v>
      </c>
      <c r="O185" s="156"/>
      <c r="T185" s="372"/>
      <c r="U185" s="372"/>
    </row>
    <row r="186" spans="1:21" ht="14.25" thickBot="1">
      <c r="A186" s="328">
        <v>186</v>
      </c>
      <c r="C186" s="351"/>
      <c r="D186" s="351"/>
      <c r="E186" s="351"/>
      <c r="F186" s="935"/>
      <c r="G186" s="957"/>
      <c r="H186" s="1032" t="s">
        <v>1329</v>
      </c>
      <c r="I186" s="1057" t="s">
        <v>1303</v>
      </c>
      <c r="J186" s="1014" t="s">
        <v>1808</v>
      </c>
      <c r="K186" s="1025"/>
      <c r="M186" s="349" t="str">
        <f t="shared" si="17"/>
        <v>〇</v>
      </c>
      <c r="O186" s="156"/>
      <c r="T186" s="372"/>
      <c r="U186" s="372"/>
    </row>
    <row r="187" spans="1:21" ht="14.25" thickBot="1">
      <c r="A187" s="328">
        <v>187</v>
      </c>
      <c r="C187" s="351"/>
      <c r="D187" s="351"/>
      <c r="E187" s="351"/>
      <c r="F187" s="935"/>
      <c r="G187" s="957"/>
      <c r="H187" s="1054" t="s">
        <v>1330</v>
      </c>
      <c r="I187" s="1057" t="s">
        <v>1303</v>
      </c>
      <c r="J187" s="1034">
        <v>1</v>
      </c>
      <c r="K187" s="1058"/>
      <c r="M187" s="349" t="str">
        <f t="shared" si="17"/>
        <v>〇</v>
      </c>
      <c r="O187" s="156"/>
      <c r="T187" s="372"/>
      <c r="U187" s="372"/>
    </row>
    <row r="188" spans="1:21" ht="14.25" thickBot="1">
      <c r="A188" s="328">
        <v>188</v>
      </c>
      <c r="C188" s="351"/>
      <c r="D188" s="351"/>
      <c r="E188" s="351"/>
      <c r="F188" s="939"/>
      <c r="G188" s="948"/>
      <c r="H188" s="1041" t="s">
        <v>1463</v>
      </c>
      <c r="I188" s="1001" t="s">
        <v>565</v>
      </c>
      <c r="J188" s="100" t="s">
        <v>1179</v>
      </c>
      <c r="K188" s="1035"/>
      <c r="M188" s="349" t="str">
        <f t="shared" si="17"/>
        <v>〇</v>
      </c>
      <c r="O188" s="156"/>
      <c r="T188" s="372"/>
      <c r="U188" s="372"/>
    </row>
    <row r="189" spans="1:21" ht="14.25" thickBot="1">
      <c r="A189" s="328">
        <v>189</v>
      </c>
      <c r="C189" s="351"/>
      <c r="D189" s="351"/>
      <c r="E189" s="351"/>
      <c r="F189" s="935" t="s">
        <v>1450</v>
      </c>
      <c r="G189" s="957"/>
      <c r="H189" s="981" t="s">
        <v>1332</v>
      </c>
      <c r="I189" s="994" t="str">
        <f>IF(J31="はい","A",IF(J31="いいえ","-","A／-"))</f>
        <v>A</v>
      </c>
      <c r="J189" s="1034">
        <v>7</v>
      </c>
      <c r="K189" s="1023" t="s">
        <v>1606</v>
      </c>
      <c r="M189" s="872" t="str">
        <f>+IF(I189="A",IF(ISBLANK(J189),"未入力あり",IF(J189&gt;=1,"○","×")),"")</f>
        <v>○</v>
      </c>
      <c r="O189" s="156"/>
      <c r="T189" s="372"/>
      <c r="U189" s="372"/>
    </row>
    <row r="190" spans="1:21" ht="14.25" thickBot="1">
      <c r="A190" s="328">
        <v>190</v>
      </c>
      <c r="C190" s="351"/>
      <c r="D190" s="351"/>
      <c r="E190" s="351"/>
      <c r="F190" s="935"/>
      <c r="G190" s="957"/>
      <c r="H190" s="983" t="s">
        <v>1333</v>
      </c>
      <c r="I190" s="1024" t="s">
        <v>1303</v>
      </c>
      <c r="J190" s="1034">
        <v>1</v>
      </c>
      <c r="K190" s="1025"/>
      <c r="M190" s="349" t="str">
        <f t="shared" si="17"/>
        <v>〇</v>
      </c>
      <c r="O190" s="156"/>
      <c r="T190" s="372"/>
      <c r="U190" s="372"/>
    </row>
    <row r="191" spans="1:21" ht="14.25" thickBot="1">
      <c r="A191" s="328">
        <v>191</v>
      </c>
      <c r="C191" s="351"/>
      <c r="D191" s="351"/>
      <c r="E191" s="351"/>
      <c r="F191" s="935"/>
      <c r="G191" s="957"/>
      <c r="H191" s="983" t="s">
        <v>1334</v>
      </c>
      <c r="I191" s="1024" t="s">
        <v>1303</v>
      </c>
      <c r="J191" s="1034">
        <v>1</v>
      </c>
      <c r="K191" s="1025"/>
      <c r="M191" s="349" t="str">
        <f t="shared" si="17"/>
        <v>〇</v>
      </c>
      <c r="O191" s="156"/>
      <c r="T191" s="372"/>
      <c r="U191" s="372"/>
    </row>
    <row r="192" spans="1:21" ht="14.25" thickBot="1">
      <c r="A192" s="328">
        <v>192</v>
      </c>
      <c r="C192" s="351"/>
      <c r="D192" s="351"/>
      <c r="E192" s="351"/>
      <c r="F192" s="935"/>
      <c r="G192" s="957"/>
      <c r="H192" s="982" t="s">
        <v>1335</v>
      </c>
      <c r="I192" s="1024" t="s">
        <v>1313</v>
      </c>
      <c r="J192" s="1014" t="s">
        <v>1808</v>
      </c>
      <c r="K192" s="1025"/>
      <c r="M192" s="349" t="str">
        <f t="shared" si="17"/>
        <v>〇</v>
      </c>
      <c r="O192" s="156"/>
      <c r="T192" s="372"/>
      <c r="U192" s="372"/>
    </row>
    <row r="193" spans="1:21" ht="14.25" thickBot="1">
      <c r="A193" s="328">
        <v>193</v>
      </c>
      <c r="C193" s="351"/>
      <c r="D193" s="351"/>
      <c r="E193" s="351"/>
      <c r="F193" s="935"/>
      <c r="G193" s="957"/>
      <c r="H193" s="983" t="s">
        <v>1336</v>
      </c>
      <c r="I193" s="1024" t="s">
        <v>1303</v>
      </c>
      <c r="J193" s="1034">
        <v>6</v>
      </c>
      <c r="K193" s="1025"/>
      <c r="M193" s="349" t="str">
        <f t="shared" si="17"/>
        <v>〇</v>
      </c>
      <c r="O193" s="156"/>
      <c r="T193" s="372"/>
      <c r="U193" s="372"/>
    </row>
    <row r="194" spans="1:21" ht="14.25" thickBot="1">
      <c r="A194" s="328">
        <v>194</v>
      </c>
      <c r="C194" s="351"/>
      <c r="D194" s="351"/>
      <c r="E194" s="351"/>
      <c r="F194" s="939"/>
      <c r="G194" s="940"/>
      <c r="H194" s="1041" t="s">
        <v>1463</v>
      </c>
      <c r="I194" s="1009" t="s">
        <v>1303</v>
      </c>
      <c r="J194" s="100" t="s">
        <v>1810</v>
      </c>
      <c r="K194" s="1026"/>
      <c r="M194" s="349" t="str">
        <f t="shared" si="17"/>
        <v>〇</v>
      </c>
      <c r="O194" s="156"/>
      <c r="T194" s="372"/>
      <c r="U194" s="372"/>
    </row>
    <row r="195" spans="1:21" ht="14.25" thickBot="1">
      <c r="A195" s="328">
        <v>195</v>
      </c>
      <c r="C195" s="351"/>
      <c r="D195" s="351"/>
      <c r="E195" s="351"/>
      <c r="F195" s="935" t="s">
        <v>1457</v>
      </c>
      <c r="G195" s="957"/>
      <c r="H195" s="981" t="s">
        <v>648</v>
      </c>
      <c r="I195" s="1022" t="s">
        <v>1263</v>
      </c>
      <c r="J195" s="1034">
        <v>31</v>
      </c>
      <c r="K195" s="1023"/>
      <c r="M195" s="349" t="str">
        <f t="shared" si="17"/>
        <v>〇</v>
      </c>
      <c r="O195" s="156"/>
      <c r="T195" s="372"/>
      <c r="U195" s="373"/>
    </row>
    <row r="196" spans="1:21" ht="14.25" thickBot="1">
      <c r="A196" s="328">
        <v>196</v>
      </c>
      <c r="C196" s="351"/>
      <c r="D196" s="351"/>
      <c r="E196" s="351"/>
      <c r="F196" s="935"/>
      <c r="G196" s="957"/>
      <c r="H196" s="1054" t="s">
        <v>649</v>
      </c>
      <c r="I196" s="1031" t="s">
        <v>1263</v>
      </c>
      <c r="J196" s="1034">
        <v>20</v>
      </c>
      <c r="K196" s="1032"/>
      <c r="M196" s="349" t="str">
        <f t="shared" si="17"/>
        <v>〇</v>
      </c>
      <c r="O196" s="156"/>
      <c r="T196" s="372"/>
      <c r="U196" s="373"/>
    </row>
    <row r="197" spans="1:21" ht="14.25" thickBot="1">
      <c r="A197" s="328">
        <v>197</v>
      </c>
      <c r="C197" s="351"/>
      <c r="D197" s="351"/>
      <c r="E197" s="351"/>
      <c r="F197" s="935"/>
      <c r="G197" s="957"/>
      <c r="H197" s="983" t="s">
        <v>650</v>
      </c>
      <c r="I197" s="1024" t="s">
        <v>1263</v>
      </c>
      <c r="J197" s="1034">
        <v>7</v>
      </c>
      <c r="K197" s="982"/>
      <c r="M197" s="349" t="str">
        <f t="shared" si="17"/>
        <v>〇</v>
      </c>
      <c r="O197" s="156"/>
      <c r="T197" s="372"/>
      <c r="U197" s="373"/>
    </row>
    <row r="198" spans="1:21" ht="14.25" thickBot="1">
      <c r="A198" s="328">
        <v>198</v>
      </c>
      <c r="C198" s="351"/>
      <c r="D198" s="364"/>
      <c r="E198" s="364"/>
      <c r="F198" s="939"/>
      <c r="G198" s="940"/>
      <c r="H198" s="1041" t="s">
        <v>651</v>
      </c>
      <c r="I198" s="995" t="s">
        <v>1263</v>
      </c>
      <c r="J198" s="1034">
        <v>4</v>
      </c>
      <c r="K198" s="1026"/>
      <c r="M198" s="349" t="str">
        <f t="shared" si="17"/>
        <v>〇</v>
      </c>
      <c r="O198" s="156"/>
      <c r="T198" s="372"/>
      <c r="U198" s="373"/>
    </row>
    <row r="199" spans="1:21" ht="14.25" thickBot="1">
      <c r="A199" s="328">
        <v>199</v>
      </c>
      <c r="C199" s="351"/>
      <c r="D199" s="352" t="s">
        <v>652</v>
      </c>
      <c r="E199" s="353" t="s">
        <v>653</v>
      </c>
      <c r="F199" s="989"/>
      <c r="G199" s="989"/>
      <c r="H199" s="990"/>
      <c r="I199" s="1037"/>
      <c r="J199" s="1156"/>
      <c r="K199" s="1038"/>
      <c r="O199" s="156"/>
    </row>
    <row r="200" spans="1:21" ht="14.25" thickBot="1">
      <c r="A200" s="328">
        <v>200</v>
      </c>
      <c r="C200" s="351"/>
      <c r="D200" s="935"/>
      <c r="E200" s="931" t="s">
        <v>1337</v>
      </c>
      <c r="F200" s="933"/>
      <c r="G200" s="933"/>
      <c r="H200" s="938" t="s">
        <v>654</v>
      </c>
      <c r="I200" s="997" t="s">
        <v>1263</v>
      </c>
      <c r="J200" s="1014" t="s">
        <v>1808</v>
      </c>
      <c r="K200" s="1030" t="s">
        <v>655</v>
      </c>
      <c r="M200" s="349" t="str">
        <f t="shared" si="17"/>
        <v>〇</v>
      </c>
      <c r="O200" s="156"/>
    </row>
    <row r="201" spans="1:21" ht="27.75" thickBot="1">
      <c r="A201" s="328">
        <v>201</v>
      </c>
      <c r="C201" s="351"/>
      <c r="D201" s="935"/>
      <c r="E201" s="931" t="s">
        <v>1338</v>
      </c>
      <c r="F201" s="933"/>
      <c r="G201" s="933"/>
      <c r="H201" s="938" t="s">
        <v>656</v>
      </c>
      <c r="I201" s="997" t="s">
        <v>1341</v>
      </c>
      <c r="J201" s="1014" t="s">
        <v>1808</v>
      </c>
      <c r="K201" s="1030"/>
      <c r="M201" s="349" t="str">
        <f t="shared" si="17"/>
        <v>〇</v>
      </c>
      <c r="O201" s="156"/>
    </row>
    <row r="202" spans="1:21" ht="14.25" thickBot="1">
      <c r="A202" s="328">
        <v>202</v>
      </c>
      <c r="C202" s="351"/>
      <c r="D202" s="935"/>
      <c r="E202" s="1089"/>
      <c r="F202" s="1059"/>
      <c r="G202" s="1059"/>
      <c r="H202" s="941" t="s">
        <v>657</v>
      </c>
      <c r="I202" s="1009" t="s">
        <v>1263</v>
      </c>
      <c r="J202" s="1014" t="s">
        <v>1808</v>
      </c>
      <c r="K202" s="1026"/>
      <c r="M202" s="349" t="str">
        <f t="shared" si="17"/>
        <v>〇</v>
      </c>
      <c r="O202" s="156"/>
    </row>
    <row r="203" spans="1:21" ht="27.75" thickBot="1">
      <c r="A203" s="328">
        <v>203</v>
      </c>
      <c r="C203" s="351"/>
      <c r="D203" s="935"/>
      <c r="E203" s="1108" t="s">
        <v>1339</v>
      </c>
      <c r="F203" s="1060"/>
      <c r="G203" s="1060"/>
      <c r="H203" s="951" t="s">
        <v>658</v>
      </c>
      <c r="I203" s="996" t="s">
        <v>1262</v>
      </c>
      <c r="J203" s="1014" t="s">
        <v>1808</v>
      </c>
      <c r="K203" s="1015"/>
      <c r="M203" s="349" t="str">
        <f t="shared" ref="M203" si="18">+IF(I203="A",IF(ISBLANK(J203),"未入力あり",IF(J203="はい","○","×")),"")</f>
        <v>○</v>
      </c>
      <c r="O203" s="156"/>
    </row>
    <row r="204" spans="1:21" ht="14.25" thickBot="1">
      <c r="A204" s="328">
        <v>204</v>
      </c>
      <c r="C204" s="351"/>
      <c r="D204" s="935"/>
      <c r="E204" s="1089" t="s">
        <v>1340</v>
      </c>
      <c r="F204" s="1059"/>
      <c r="G204" s="1059"/>
      <c r="H204" s="981" t="s">
        <v>659</v>
      </c>
      <c r="I204" s="1022" t="s">
        <v>1341</v>
      </c>
      <c r="J204" s="1014" t="s">
        <v>1808</v>
      </c>
      <c r="K204" s="1023" t="s">
        <v>660</v>
      </c>
      <c r="M204" s="349" t="str">
        <f t="shared" si="17"/>
        <v>〇</v>
      </c>
      <c r="O204" s="156"/>
    </row>
    <row r="205" spans="1:21" ht="14.25" thickBot="1">
      <c r="A205" s="328">
        <v>205</v>
      </c>
      <c r="C205" s="351"/>
      <c r="D205" s="935"/>
      <c r="E205" s="1089"/>
      <c r="F205" s="1059"/>
      <c r="G205" s="1059"/>
      <c r="H205" s="974" t="s">
        <v>1607</v>
      </c>
      <c r="I205" s="1011" t="s">
        <v>1341</v>
      </c>
      <c r="J205" s="1014" t="s">
        <v>1808</v>
      </c>
      <c r="K205" s="982"/>
      <c r="M205" s="349" t="str">
        <f t="shared" si="17"/>
        <v>〇</v>
      </c>
      <c r="O205" s="156"/>
    </row>
    <row r="206" spans="1:21" ht="14.25" thickBot="1">
      <c r="A206" s="328">
        <v>206</v>
      </c>
      <c r="C206" s="351"/>
      <c r="D206" s="935"/>
      <c r="E206" s="1089"/>
      <c r="F206" s="1059"/>
      <c r="G206" s="1059"/>
      <c r="H206" s="983" t="s">
        <v>661</v>
      </c>
      <c r="I206" s="1011" t="s">
        <v>565</v>
      </c>
      <c r="J206" s="1014" t="s">
        <v>1808</v>
      </c>
      <c r="K206" s="982"/>
      <c r="M206" s="349" t="str">
        <f t="shared" si="17"/>
        <v>〇</v>
      </c>
      <c r="O206" s="156"/>
    </row>
    <row r="207" spans="1:21" ht="14.25" thickBot="1">
      <c r="A207" s="328">
        <v>207</v>
      </c>
      <c r="C207" s="351"/>
      <c r="D207" s="351"/>
      <c r="E207" s="406"/>
      <c r="F207" s="1059"/>
      <c r="G207" s="1059"/>
      <c r="H207" s="983" t="s">
        <v>662</v>
      </c>
      <c r="I207" s="1011" t="s">
        <v>565</v>
      </c>
      <c r="J207" s="1014" t="s">
        <v>1808</v>
      </c>
      <c r="K207" s="982"/>
      <c r="M207" s="349" t="str">
        <f t="shared" si="17"/>
        <v>〇</v>
      </c>
      <c r="O207" s="156"/>
    </row>
    <row r="208" spans="1:21" ht="41.25" thickBot="1">
      <c r="A208" s="328">
        <v>208</v>
      </c>
      <c r="C208" s="351"/>
      <c r="D208" s="351"/>
      <c r="E208" s="406"/>
      <c r="F208" s="1059"/>
      <c r="G208" s="1059"/>
      <c r="H208" s="981" t="s">
        <v>663</v>
      </c>
      <c r="I208" s="1022" t="str">
        <f>IF(AND(J206="はい",J207="はい"),"-","B")</f>
        <v>-</v>
      </c>
      <c r="J208" s="1014" t="s">
        <v>568</v>
      </c>
      <c r="K208" s="1023" t="s">
        <v>1645</v>
      </c>
      <c r="M208" s="349" t="str">
        <f t="shared" si="17"/>
        <v>〇</v>
      </c>
      <c r="O208" s="156"/>
    </row>
    <row r="209" spans="1:21" ht="14.25" thickBot="1">
      <c r="A209" s="328">
        <v>209</v>
      </c>
      <c r="C209" s="991">
        <v>2</v>
      </c>
      <c r="D209" s="1061" t="s">
        <v>664</v>
      </c>
      <c r="E209" s="1062"/>
      <c r="F209" s="1062"/>
      <c r="G209" s="1062"/>
      <c r="H209" s="1063"/>
      <c r="I209" s="346"/>
      <c r="J209" s="1159"/>
      <c r="K209" s="347"/>
      <c r="O209" s="156"/>
    </row>
    <row r="210" spans="1:21" ht="14.25" thickBot="1">
      <c r="A210" s="328">
        <v>210</v>
      </c>
      <c r="C210" s="935"/>
      <c r="D210" s="1064" t="s">
        <v>541</v>
      </c>
      <c r="E210" s="988"/>
      <c r="F210" s="989"/>
      <c r="G210" s="989"/>
      <c r="H210" s="990"/>
      <c r="I210" s="356"/>
      <c r="J210" s="1155"/>
      <c r="K210" s="357"/>
      <c r="O210" s="156"/>
    </row>
    <row r="211" spans="1:21" ht="14.25" thickBot="1">
      <c r="A211" s="328">
        <v>211</v>
      </c>
      <c r="C211" s="935"/>
      <c r="D211" s="935"/>
      <c r="E211" s="952" t="s">
        <v>1790</v>
      </c>
      <c r="F211" s="953"/>
      <c r="G211" s="954"/>
      <c r="H211" s="938"/>
      <c r="I211" s="363" t="s">
        <v>1262</v>
      </c>
      <c r="J211" s="66" t="s">
        <v>1808</v>
      </c>
      <c r="K211" s="348"/>
      <c r="M211" s="349" t="str">
        <f t="shared" ref="M211" si="19">+IF(I211="A",IF(ISBLANK(J211),"未入力あり",IF(J211="はい","○","×")),"")</f>
        <v>○</v>
      </c>
      <c r="O211" s="156"/>
    </row>
    <row r="212" spans="1:21" ht="32.25" customHeight="1" thickBot="1">
      <c r="A212" s="328">
        <v>212</v>
      </c>
      <c r="C212" s="935"/>
      <c r="D212" s="935"/>
      <c r="E212" s="935"/>
      <c r="F212" s="969" t="s">
        <v>1342</v>
      </c>
      <c r="G212" s="1065"/>
      <c r="H212" s="1066" t="s">
        <v>1608</v>
      </c>
      <c r="I212" s="374" t="s">
        <v>1262</v>
      </c>
      <c r="J212" s="327">
        <v>766</v>
      </c>
      <c r="K212" s="375" t="s">
        <v>665</v>
      </c>
      <c r="M212" s="349" t="str">
        <f>+IF(I212="A",IF(ISBLANK(J212),"未入力あり",IF(J212&gt;=200,"○","×")),"")</f>
        <v>○</v>
      </c>
      <c r="O212" s="156"/>
      <c r="T212" s="372"/>
      <c r="U212" s="372"/>
    </row>
    <row r="213" spans="1:21" ht="46.5" customHeight="1" thickBot="1">
      <c r="A213" s="328">
        <v>213</v>
      </c>
      <c r="C213" s="935"/>
      <c r="D213" s="935"/>
      <c r="E213" s="935"/>
      <c r="F213" s="969" t="s">
        <v>1343</v>
      </c>
      <c r="G213" s="1065"/>
      <c r="H213" s="1066" t="s">
        <v>1609</v>
      </c>
      <c r="I213" s="374" t="s">
        <v>1262</v>
      </c>
      <c r="J213" s="327">
        <v>371</v>
      </c>
      <c r="K213" s="375" t="s">
        <v>666</v>
      </c>
      <c r="M213" s="349" t="str">
        <f t="shared" ref="M213" si="20">+IF(I213="A",IF(ISBLANK(J213),"未入力あり",IF(J213&gt;=200,"○","×")),"")</f>
        <v>○</v>
      </c>
      <c r="O213" s="156"/>
      <c r="T213" s="372"/>
      <c r="U213" s="372"/>
    </row>
    <row r="214" spans="1:21" ht="41.25" thickBot="1">
      <c r="A214" s="328">
        <v>214</v>
      </c>
      <c r="C214" s="935"/>
      <c r="D214" s="935"/>
      <c r="E214" s="935"/>
      <c r="F214" s="936" t="s">
        <v>1344</v>
      </c>
      <c r="G214" s="961"/>
      <c r="H214" s="1066" t="s">
        <v>1610</v>
      </c>
      <c r="I214" s="363" t="s">
        <v>1262</v>
      </c>
      <c r="J214" s="327">
        <v>970</v>
      </c>
      <c r="K214" s="348" t="s">
        <v>1745</v>
      </c>
      <c r="M214" s="349" t="str">
        <f>+IF(I214="A",IF(ISBLANK(J214),"未入力あり",IF(J214&gt;=400,"○","×")),"")</f>
        <v>○</v>
      </c>
      <c r="O214" s="156"/>
      <c r="T214" s="372"/>
      <c r="U214" s="372"/>
    </row>
    <row r="215" spans="1:21" ht="45.75" customHeight="1" thickBot="1">
      <c r="A215" s="328">
        <v>215</v>
      </c>
      <c r="C215" s="935"/>
      <c r="D215" s="935"/>
      <c r="E215" s="935"/>
      <c r="F215" s="939"/>
      <c r="G215" s="948"/>
      <c r="H215" s="1067" t="s">
        <v>1611</v>
      </c>
      <c r="I215" s="376" t="s">
        <v>565</v>
      </c>
      <c r="J215" s="327">
        <v>771</v>
      </c>
      <c r="K215" s="348"/>
      <c r="M215" s="349" t="str">
        <f t="shared" ref="M215:M217" si="21">IF(ISBLANK(J215),"未入力あり","〇")</f>
        <v>〇</v>
      </c>
      <c r="O215" s="156"/>
      <c r="T215" s="372"/>
      <c r="U215" s="373"/>
    </row>
    <row r="216" spans="1:21" ht="27.75" thickBot="1">
      <c r="A216" s="328">
        <v>216</v>
      </c>
      <c r="C216" s="935"/>
      <c r="D216" s="935"/>
      <c r="E216" s="935"/>
      <c r="F216" s="969" t="s">
        <v>1345</v>
      </c>
      <c r="G216" s="1065"/>
      <c r="H216" s="1066" t="s">
        <v>1612</v>
      </c>
      <c r="I216" s="374" t="s">
        <v>1262</v>
      </c>
      <c r="J216" s="327">
        <v>109</v>
      </c>
      <c r="K216" s="375" t="s">
        <v>667</v>
      </c>
      <c r="M216" s="349" t="str">
        <f>+IF(I216="A",IF(ISBLANK(J216),"未入力あり",IF(J216&gt;=35,"○","×")),"")</f>
        <v>○</v>
      </c>
      <c r="O216" s="156"/>
      <c r="T216" s="372"/>
      <c r="U216" s="372"/>
    </row>
    <row r="217" spans="1:21" ht="14.25" thickBot="1">
      <c r="A217" s="328">
        <v>217</v>
      </c>
      <c r="C217" s="939"/>
      <c r="D217" s="939"/>
      <c r="E217" s="939"/>
      <c r="F217" s="1068"/>
      <c r="G217" s="1069"/>
      <c r="H217" s="1070" t="s">
        <v>668</v>
      </c>
      <c r="I217" s="1009" t="s">
        <v>1303</v>
      </c>
      <c r="J217" s="917">
        <v>6</v>
      </c>
      <c r="K217" s="350" t="s">
        <v>669</v>
      </c>
      <c r="M217" s="349" t="str">
        <f t="shared" si="21"/>
        <v>〇</v>
      </c>
      <c r="O217" s="157"/>
    </row>
    <row r="218" spans="1:21" ht="14.25" thickBot="1">
      <c r="A218" s="328">
        <v>218</v>
      </c>
      <c r="C218" s="991">
        <v>3</v>
      </c>
      <c r="D218" s="1061" t="s">
        <v>670</v>
      </c>
      <c r="E218" s="1062"/>
      <c r="F218" s="1062"/>
      <c r="G218" s="1062"/>
      <c r="H218" s="1063"/>
      <c r="I218" s="1071"/>
      <c r="J218" s="1159"/>
      <c r="K218" s="347"/>
      <c r="O218" s="156"/>
    </row>
    <row r="219" spans="1:21" ht="14.25" thickBot="1">
      <c r="A219" s="328">
        <v>219</v>
      </c>
      <c r="C219" s="935"/>
      <c r="D219" s="1072" t="s">
        <v>671</v>
      </c>
      <c r="E219" s="989"/>
      <c r="F219" s="989"/>
      <c r="G219" s="989"/>
      <c r="H219" s="942" t="s">
        <v>1613</v>
      </c>
      <c r="I219" s="994" t="s">
        <v>1262</v>
      </c>
      <c r="J219" s="66" t="s">
        <v>1808</v>
      </c>
      <c r="K219" s="367"/>
      <c r="M219" s="349" t="str">
        <f t="shared" ref="M219:M225" si="22">+IF(I219="A",IF(ISBLANK(J219),"未入力あり",IF(J219="はい","○","×")),"")</f>
        <v>○</v>
      </c>
      <c r="O219" s="156"/>
    </row>
    <row r="220" spans="1:21" ht="14.25" thickBot="1">
      <c r="A220" s="328">
        <v>220</v>
      </c>
      <c r="C220" s="935"/>
      <c r="D220" s="1073"/>
      <c r="E220" s="1074"/>
      <c r="F220" s="1074"/>
      <c r="G220" s="1074"/>
      <c r="H220" s="974" t="s">
        <v>672</v>
      </c>
      <c r="I220" s="1011" t="s">
        <v>1262</v>
      </c>
      <c r="J220" s="66" t="s">
        <v>1808</v>
      </c>
      <c r="K220" s="386"/>
      <c r="M220" s="349" t="str">
        <f t="shared" si="22"/>
        <v>○</v>
      </c>
      <c r="O220" s="156"/>
    </row>
    <row r="221" spans="1:21" ht="14.25" thickBot="1">
      <c r="A221" s="328">
        <v>221</v>
      </c>
      <c r="C221" s="935"/>
      <c r="D221" s="1073"/>
      <c r="E221" s="1074"/>
      <c r="F221" s="1074"/>
      <c r="G221" s="1074"/>
      <c r="H221" s="941" t="s">
        <v>673</v>
      </c>
      <c r="I221" s="1009" t="s">
        <v>1262</v>
      </c>
      <c r="J221" s="66" t="s">
        <v>1808</v>
      </c>
      <c r="K221" s="350"/>
      <c r="M221" s="349" t="str">
        <f t="shared" si="22"/>
        <v>○</v>
      </c>
      <c r="O221" s="156"/>
    </row>
    <row r="222" spans="1:21" ht="27.75" thickBot="1">
      <c r="A222" s="328">
        <v>222</v>
      </c>
      <c r="C222" s="935"/>
      <c r="D222" s="1072" t="s">
        <v>674</v>
      </c>
      <c r="E222" s="989"/>
      <c r="F222" s="989"/>
      <c r="G222" s="989"/>
      <c r="H222" s="938" t="s">
        <v>675</v>
      </c>
      <c r="I222" s="997" t="s">
        <v>1262</v>
      </c>
      <c r="J222" s="66" t="s">
        <v>1808</v>
      </c>
      <c r="K222" s="348"/>
      <c r="M222" s="349" t="str">
        <f t="shared" si="22"/>
        <v>○</v>
      </c>
      <c r="O222" s="156"/>
    </row>
    <row r="223" spans="1:21" ht="48" customHeight="1" thickBot="1">
      <c r="A223" s="328">
        <v>223</v>
      </c>
      <c r="C223" s="935"/>
      <c r="D223" s="1072" t="s">
        <v>676</v>
      </c>
      <c r="E223" s="989"/>
      <c r="F223" s="989"/>
      <c r="G223" s="989"/>
      <c r="H223" s="938" t="s">
        <v>1346</v>
      </c>
      <c r="I223" s="1036" t="s">
        <v>1262</v>
      </c>
      <c r="J223" s="66" t="s">
        <v>1808</v>
      </c>
      <c r="K223" s="871"/>
      <c r="M223" s="349" t="str">
        <f t="shared" si="22"/>
        <v>○</v>
      </c>
      <c r="O223" s="156"/>
    </row>
    <row r="224" spans="1:21" ht="22.5" customHeight="1" thickBot="1">
      <c r="A224" s="328">
        <v>224</v>
      </c>
      <c r="C224" s="935"/>
      <c r="D224" s="1073"/>
      <c r="E224" s="1074"/>
      <c r="F224" s="1074"/>
      <c r="G224" s="1074"/>
      <c r="H224" s="974" t="s">
        <v>1348</v>
      </c>
      <c r="I224" s="1024" t="s">
        <v>1303</v>
      </c>
      <c r="J224" s="66" t="s">
        <v>1808</v>
      </c>
      <c r="K224" s="876"/>
      <c r="M224" s="349" t="str">
        <f t="shared" ref="M224:M230" si="23">IF(ISBLANK(J224),"未入力あり","〇")</f>
        <v>〇</v>
      </c>
      <c r="O224" s="156"/>
    </row>
    <row r="225" spans="1:21" ht="14.25" thickBot="1">
      <c r="A225" s="328">
        <v>225</v>
      </c>
      <c r="C225" s="935"/>
      <c r="D225" s="1073"/>
      <c r="E225" s="1074"/>
      <c r="F225" s="1074"/>
      <c r="G225" s="1074"/>
      <c r="H225" s="974" t="s">
        <v>677</v>
      </c>
      <c r="I225" s="1022" t="s">
        <v>1262</v>
      </c>
      <c r="J225" s="66" t="s">
        <v>1808</v>
      </c>
      <c r="K225" s="384"/>
      <c r="M225" s="349" t="str">
        <f t="shared" si="22"/>
        <v>○</v>
      </c>
      <c r="O225" s="156"/>
      <c r="T225" s="372"/>
      <c r="U225" s="372"/>
    </row>
    <row r="226" spans="1:21" ht="14.25" thickBot="1">
      <c r="A226" s="328">
        <v>226</v>
      </c>
      <c r="C226" s="935"/>
      <c r="D226" s="1073"/>
      <c r="E226" s="1074"/>
      <c r="F226" s="1074"/>
      <c r="G226" s="1074"/>
      <c r="H226" s="1075" t="s">
        <v>1791</v>
      </c>
      <c r="I226" s="1076" t="s">
        <v>565</v>
      </c>
      <c r="J226" s="327">
        <v>10</v>
      </c>
      <c r="K226" s="412"/>
      <c r="M226" s="349" t="str">
        <f t="shared" si="23"/>
        <v>〇</v>
      </c>
      <c r="O226" s="156"/>
      <c r="T226" s="372"/>
      <c r="U226" s="373"/>
    </row>
    <row r="227" spans="1:21" ht="14.25" thickBot="1">
      <c r="A227" s="328">
        <v>227</v>
      </c>
      <c r="C227" s="935"/>
      <c r="D227" s="1073"/>
      <c r="E227" s="1074"/>
      <c r="F227" s="1074"/>
      <c r="G227" s="1074"/>
      <c r="H227" s="964" t="s">
        <v>678</v>
      </c>
      <c r="I227" s="1005" t="s">
        <v>565</v>
      </c>
      <c r="J227" s="327">
        <v>10</v>
      </c>
      <c r="K227" s="380"/>
      <c r="M227" s="349" t="str">
        <f t="shared" si="23"/>
        <v>〇</v>
      </c>
      <c r="O227" s="156"/>
      <c r="T227" s="372"/>
      <c r="U227" s="372"/>
    </row>
    <row r="228" spans="1:21" ht="14.25" thickBot="1">
      <c r="A228" s="328">
        <v>228</v>
      </c>
      <c r="C228" s="935"/>
      <c r="D228" s="1073"/>
      <c r="E228" s="1074"/>
      <c r="F228" s="1074"/>
      <c r="G228" s="1074"/>
      <c r="H228" s="1077" t="s">
        <v>679</v>
      </c>
      <c r="I228" s="1078" t="s">
        <v>565</v>
      </c>
      <c r="J228" s="413">
        <f>+IFERROR(J227/J226,"")</f>
        <v>1</v>
      </c>
      <c r="K228" s="391"/>
      <c r="O228" s="156"/>
      <c r="T228" s="372"/>
      <c r="U228" s="372"/>
    </row>
    <row r="229" spans="1:21" ht="14.25" thickBot="1">
      <c r="A229" s="328">
        <v>229</v>
      </c>
      <c r="C229" s="935"/>
      <c r="D229" s="1073"/>
      <c r="E229" s="1074"/>
      <c r="F229" s="1074"/>
      <c r="G229" s="1074"/>
      <c r="H229" s="1075" t="s">
        <v>680</v>
      </c>
      <c r="I229" s="1076" t="s">
        <v>565</v>
      </c>
      <c r="J229" s="327">
        <v>48</v>
      </c>
      <c r="K229" s="412"/>
      <c r="M229" s="349" t="str">
        <f t="shared" si="23"/>
        <v>〇</v>
      </c>
      <c r="O229" s="156"/>
      <c r="T229" s="372"/>
      <c r="U229" s="372"/>
    </row>
    <row r="230" spans="1:21" ht="14.25" thickBot="1">
      <c r="A230" s="328">
        <v>230</v>
      </c>
      <c r="C230" s="935"/>
      <c r="D230" s="1073"/>
      <c r="E230" s="1074"/>
      <c r="F230" s="1074"/>
      <c r="G230" s="1074"/>
      <c r="H230" s="964" t="s">
        <v>678</v>
      </c>
      <c r="I230" s="1005" t="s">
        <v>565</v>
      </c>
      <c r="J230" s="327">
        <v>47</v>
      </c>
      <c r="K230" s="380"/>
      <c r="M230" s="349" t="str">
        <f t="shared" si="23"/>
        <v>〇</v>
      </c>
      <c r="O230" s="156"/>
      <c r="T230" s="372"/>
      <c r="U230" s="372"/>
    </row>
    <row r="231" spans="1:21" ht="14.25" thickBot="1">
      <c r="A231" s="328">
        <v>231</v>
      </c>
      <c r="C231" s="935"/>
      <c r="D231" s="1073"/>
      <c r="E231" s="1074"/>
      <c r="F231" s="1074"/>
      <c r="G231" s="1074"/>
      <c r="H231" s="1077" t="s">
        <v>679</v>
      </c>
      <c r="I231" s="1078" t="s">
        <v>565</v>
      </c>
      <c r="J231" s="413">
        <f>+IFERROR(J230/J229,"")</f>
        <v>0.97916666666666663</v>
      </c>
      <c r="K231" s="391"/>
      <c r="O231" s="156"/>
      <c r="T231" s="372"/>
      <c r="U231" s="372"/>
    </row>
    <row r="232" spans="1:21" ht="14.25" thickBot="1">
      <c r="A232" s="328">
        <v>232</v>
      </c>
      <c r="C232" s="935"/>
      <c r="D232" s="1073"/>
      <c r="E232" s="1074"/>
      <c r="F232" s="1074"/>
      <c r="G232" s="1074"/>
      <c r="H232" s="974" t="s">
        <v>681</v>
      </c>
      <c r="I232" s="1022" t="s">
        <v>1262</v>
      </c>
      <c r="J232" s="66" t="s">
        <v>1808</v>
      </c>
      <c r="K232" s="384"/>
      <c r="M232" s="349" t="str">
        <f t="shared" ref="M232:M238" si="24">+IF(I232="A",IF(ISBLANK(J232),"未入力あり",IF(J232="はい","○","×")),"")</f>
        <v>○</v>
      </c>
      <c r="O232" s="156"/>
    </row>
    <row r="233" spans="1:21" ht="27.75" thickBot="1">
      <c r="A233" s="328">
        <v>233</v>
      </c>
      <c r="C233" s="935"/>
      <c r="D233" s="1073"/>
      <c r="E233" s="1074"/>
      <c r="F233" s="1074"/>
      <c r="G233" s="1074"/>
      <c r="H233" s="983" t="s">
        <v>1347</v>
      </c>
      <c r="I233" s="1024" t="s">
        <v>1303</v>
      </c>
      <c r="J233" s="100" t="s">
        <v>1814</v>
      </c>
      <c r="K233" s="384"/>
      <c r="M233" s="349" t="str">
        <f t="shared" ref="M233" si="25">IF(ISBLANK(J233),"未入力あり","〇")</f>
        <v>〇</v>
      </c>
      <c r="O233" s="156"/>
    </row>
    <row r="234" spans="1:21" ht="14.25" thickBot="1">
      <c r="A234" s="328">
        <v>234</v>
      </c>
      <c r="C234" s="935"/>
      <c r="D234" s="1073"/>
      <c r="E234" s="1074"/>
      <c r="F234" s="1074"/>
      <c r="G234" s="1074"/>
      <c r="H234" s="941" t="s">
        <v>682</v>
      </c>
      <c r="I234" s="1009" t="s">
        <v>1262</v>
      </c>
      <c r="J234" s="66" t="s">
        <v>1808</v>
      </c>
      <c r="K234" s="350"/>
      <c r="M234" s="349" t="str">
        <f t="shared" si="24"/>
        <v>○</v>
      </c>
      <c r="O234" s="156"/>
    </row>
    <row r="235" spans="1:21" ht="14.25" thickBot="1">
      <c r="A235" s="328">
        <v>235</v>
      </c>
      <c r="C235" s="935"/>
      <c r="D235" s="1072" t="s">
        <v>683</v>
      </c>
      <c r="E235" s="989"/>
      <c r="F235" s="989"/>
      <c r="G235" s="989"/>
      <c r="H235" s="938" t="s">
        <v>684</v>
      </c>
      <c r="I235" s="997" t="s">
        <v>1262</v>
      </c>
      <c r="J235" s="66" t="s">
        <v>1808</v>
      </c>
      <c r="K235" s="348"/>
      <c r="M235" s="349" t="str">
        <f t="shared" si="24"/>
        <v>○</v>
      </c>
      <c r="O235" s="156"/>
    </row>
    <row r="236" spans="1:21" ht="33" customHeight="1" thickBot="1">
      <c r="A236" s="328">
        <v>236</v>
      </c>
      <c r="C236" s="935"/>
      <c r="D236" s="1072" t="s">
        <v>685</v>
      </c>
      <c r="E236" s="989"/>
      <c r="F236" s="989"/>
      <c r="G236" s="1079"/>
      <c r="H236" s="1080" t="s">
        <v>1614</v>
      </c>
      <c r="I236" s="997" t="s">
        <v>1262</v>
      </c>
      <c r="J236" s="66" t="s">
        <v>1808</v>
      </c>
      <c r="K236" s="375"/>
      <c r="M236" s="349" t="str">
        <f t="shared" si="24"/>
        <v>○</v>
      </c>
      <c r="O236" s="156"/>
    </row>
    <row r="237" spans="1:21" ht="33" customHeight="1" thickBot="1">
      <c r="A237" s="328">
        <v>237</v>
      </c>
      <c r="C237" s="935"/>
      <c r="D237" s="1081"/>
      <c r="E237" s="1082"/>
      <c r="F237" s="1082"/>
      <c r="G237" s="1083"/>
      <c r="H237" s="1054" t="s">
        <v>1360</v>
      </c>
      <c r="I237" s="995" t="s">
        <v>1303</v>
      </c>
      <c r="J237" s="100" t="s">
        <v>1814</v>
      </c>
      <c r="K237" s="384"/>
      <c r="M237" s="349" t="str">
        <f t="shared" ref="M237" si="26">IF(ISBLANK(J237),"未入力あり","〇")</f>
        <v>〇</v>
      </c>
      <c r="O237" s="156"/>
    </row>
    <row r="238" spans="1:21" ht="27.75" thickBot="1">
      <c r="A238" s="328">
        <v>238</v>
      </c>
      <c r="C238" s="935"/>
      <c r="D238" s="1073" t="s">
        <v>686</v>
      </c>
      <c r="E238" s="1074"/>
      <c r="F238" s="1074"/>
      <c r="G238" s="1074"/>
      <c r="H238" s="942" t="s">
        <v>687</v>
      </c>
      <c r="I238" s="1022" t="s">
        <v>1262</v>
      </c>
      <c r="J238" s="66" t="s">
        <v>1808</v>
      </c>
      <c r="K238" s="871"/>
      <c r="M238" s="349" t="str">
        <f t="shared" si="24"/>
        <v>○</v>
      </c>
      <c r="O238" s="156"/>
    </row>
    <row r="239" spans="1:21" ht="14.25" thickBot="1">
      <c r="A239" s="328">
        <v>239</v>
      </c>
      <c r="C239" s="935"/>
      <c r="D239" s="1073"/>
      <c r="E239" s="1074"/>
      <c r="F239" s="1074"/>
      <c r="G239" s="1074"/>
      <c r="H239" s="985" t="s">
        <v>688</v>
      </c>
      <c r="I239" s="1051" t="s">
        <v>1263</v>
      </c>
      <c r="J239" s="66" t="s">
        <v>1809</v>
      </c>
      <c r="K239" s="404"/>
      <c r="M239" s="349" t="str">
        <f t="shared" ref="M239:M241" si="27">IF(ISBLANK(J239),"未入力あり","〇")</f>
        <v>〇</v>
      </c>
      <c r="O239" s="156"/>
    </row>
    <row r="240" spans="1:21" ht="14.25" thickBot="1">
      <c r="A240" s="328">
        <v>240</v>
      </c>
      <c r="C240" s="935"/>
      <c r="D240" s="1073"/>
      <c r="E240" s="1074"/>
      <c r="F240" s="1074"/>
      <c r="G240" s="1084"/>
      <c r="H240" s="1085" t="s">
        <v>1788</v>
      </c>
      <c r="I240" s="1006" t="s">
        <v>568</v>
      </c>
      <c r="J240" s="327">
        <v>1</v>
      </c>
      <c r="K240" s="383"/>
      <c r="M240" s="349" t="str">
        <f t="shared" si="27"/>
        <v>〇</v>
      </c>
      <c r="O240" s="156"/>
      <c r="T240" s="372"/>
      <c r="U240" s="373"/>
    </row>
    <row r="241" spans="1:21" ht="45.75" customHeight="1" thickBot="1">
      <c r="A241" s="328">
        <v>241</v>
      </c>
      <c r="C241" s="935"/>
      <c r="D241" s="1081"/>
      <c r="E241" s="1082"/>
      <c r="F241" s="1082"/>
      <c r="G241" s="1083"/>
      <c r="H241" s="960" t="s">
        <v>1787</v>
      </c>
      <c r="I241" s="1001" t="s">
        <v>568</v>
      </c>
      <c r="J241" s="100" t="s">
        <v>1815</v>
      </c>
      <c r="K241" s="377"/>
      <c r="M241" s="349" t="str">
        <f t="shared" si="27"/>
        <v>〇</v>
      </c>
      <c r="O241" s="156"/>
    </row>
    <row r="242" spans="1:21" ht="14.25" thickBot="1">
      <c r="A242" s="328">
        <v>242</v>
      </c>
      <c r="C242" s="935"/>
      <c r="D242" s="1073" t="s">
        <v>689</v>
      </c>
      <c r="E242" s="1074"/>
      <c r="F242" s="1074"/>
      <c r="G242" s="1074"/>
      <c r="H242" s="981" t="s">
        <v>690</v>
      </c>
      <c r="I242" s="1022" t="s">
        <v>1262</v>
      </c>
      <c r="J242" s="66" t="s">
        <v>1808</v>
      </c>
      <c r="K242" s="384"/>
      <c r="M242" s="349" t="str">
        <f t="shared" ref="M242" si="28">+IF(I242="A",IF(ISBLANK(J242),"未入力あり",IF(J242="はい","○","×")),"")</f>
        <v>○</v>
      </c>
      <c r="O242" s="156"/>
    </row>
    <row r="243" spans="1:21" ht="14.25" thickBot="1">
      <c r="A243" s="328">
        <v>243</v>
      </c>
      <c r="C243" s="935"/>
      <c r="D243" s="1073"/>
      <c r="E243" s="1074"/>
      <c r="F243" s="1074"/>
      <c r="G243" s="1084"/>
      <c r="H243" s="1085" t="str">
        <f>H240</f>
        <v>令和５年１月１日～12月31日の開催回数</v>
      </c>
      <c r="I243" s="1006" t="s">
        <v>568</v>
      </c>
      <c r="J243" s="327">
        <v>3</v>
      </c>
      <c r="K243" s="383"/>
      <c r="M243" s="349" t="str">
        <f t="shared" ref="M243:M248" si="29">IF(ISBLANK(J243),"未入力あり","〇")</f>
        <v>〇</v>
      </c>
      <c r="O243" s="156"/>
      <c r="T243" s="372"/>
      <c r="U243" s="373"/>
    </row>
    <row r="244" spans="1:21" ht="45.75" customHeight="1" thickBot="1">
      <c r="A244" s="328">
        <v>244</v>
      </c>
      <c r="C244" s="935"/>
      <c r="D244" s="1073"/>
      <c r="E244" s="1074"/>
      <c r="F244" s="1074"/>
      <c r="G244" s="1084"/>
      <c r="H244" s="1085" t="str">
        <f>H241</f>
        <v>令和５年１月１日～12月31日の期間に実施した研修のうち、代表的な内容を一つ記載してください。</v>
      </c>
      <c r="I244" s="1006" t="s">
        <v>568</v>
      </c>
      <c r="J244" s="100" t="s">
        <v>1816</v>
      </c>
      <c r="K244" s="383"/>
      <c r="M244" s="349" t="str">
        <f t="shared" si="29"/>
        <v>〇</v>
      </c>
      <c r="O244" s="156"/>
    </row>
    <row r="245" spans="1:21" ht="24.6" customHeight="1" thickBot="1">
      <c r="A245" s="328">
        <v>245</v>
      </c>
      <c r="C245" s="935"/>
      <c r="D245" s="1081"/>
      <c r="E245" s="1082"/>
      <c r="F245" s="1082"/>
      <c r="G245" s="1083"/>
      <c r="H245" s="941" t="s">
        <v>691</v>
      </c>
      <c r="I245" s="1009" t="s">
        <v>1262</v>
      </c>
      <c r="J245" s="66" t="s">
        <v>1808</v>
      </c>
      <c r="K245" s="350"/>
      <c r="M245" s="349" t="str">
        <f t="shared" ref="M245" si="30">+IF(I245="A",IF(ISBLANK(J245),"未入力あり",IF(J245="はい","○","×")),"")</f>
        <v>○</v>
      </c>
      <c r="O245" s="156"/>
    </row>
    <row r="246" spans="1:21" ht="26.45" customHeight="1" thickBot="1">
      <c r="A246" s="328">
        <v>246</v>
      </c>
      <c r="C246" s="935"/>
      <c r="D246" s="1072" t="s">
        <v>692</v>
      </c>
      <c r="E246" s="989"/>
      <c r="F246" s="989"/>
      <c r="G246" s="1079"/>
      <c r="H246" s="1086" t="s">
        <v>693</v>
      </c>
      <c r="I246" s="1007" t="s">
        <v>1313</v>
      </c>
      <c r="J246" s="66" t="s">
        <v>1808</v>
      </c>
      <c r="K246" s="379"/>
      <c r="M246" s="349" t="str">
        <f t="shared" si="29"/>
        <v>〇</v>
      </c>
      <c r="O246" s="156"/>
    </row>
    <row r="247" spans="1:21" ht="14.25" thickBot="1">
      <c r="A247" s="328">
        <v>247</v>
      </c>
      <c r="C247" s="935"/>
      <c r="D247" s="1073"/>
      <c r="E247" s="1074"/>
      <c r="F247" s="1074"/>
      <c r="G247" s="1084"/>
      <c r="H247" s="983" t="s">
        <v>1349</v>
      </c>
      <c r="I247" s="1087" t="s">
        <v>1303</v>
      </c>
      <c r="J247" s="66" t="s">
        <v>1808</v>
      </c>
      <c r="K247" s="871"/>
      <c r="M247" s="349" t="str">
        <f t="shared" si="29"/>
        <v>〇</v>
      </c>
      <c r="O247" s="156"/>
    </row>
    <row r="248" spans="1:21" ht="14.25" thickBot="1">
      <c r="A248" s="328">
        <v>248</v>
      </c>
      <c r="C248" s="939"/>
      <c r="D248" s="1081"/>
      <c r="E248" s="1082"/>
      <c r="F248" s="1082"/>
      <c r="G248" s="1083"/>
      <c r="H248" s="1041" t="s">
        <v>1350</v>
      </c>
      <c r="I248" s="1088" t="s">
        <v>1303</v>
      </c>
      <c r="J248" s="66" t="s">
        <v>1809</v>
      </c>
      <c r="K248" s="877"/>
      <c r="M248" s="349" t="str">
        <f t="shared" si="29"/>
        <v>〇</v>
      </c>
      <c r="O248" s="156"/>
    </row>
    <row r="249" spans="1:21" ht="14.25" thickBot="1">
      <c r="A249" s="328">
        <v>249</v>
      </c>
      <c r="C249" s="991">
        <v>4</v>
      </c>
      <c r="D249" s="1061" t="s">
        <v>694</v>
      </c>
      <c r="E249" s="1062"/>
      <c r="F249" s="1062"/>
      <c r="G249" s="1062"/>
      <c r="H249" s="1063"/>
      <c r="I249" s="1071"/>
      <c r="J249" s="1159"/>
      <c r="K249" s="347"/>
      <c r="O249" s="156"/>
    </row>
    <row r="250" spans="1:21" ht="14.25" thickBot="1">
      <c r="A250" s="328">
        <v>250</v>
      </c>
      <c r="C250" s="935"/>
      <c r="D250" s="1064" t="s">
        <v>541</v>
      </c>
      <c r="E250" s="988" t="s">
        <v>695</v>
      </c>
      <c r="F250" s="989"/>
      <c r="G250" s="989"/>
      <c r="H250" s="990"/>
      <c r="I250" s="1037"/>
      <c r="J250" s="1155"/>
      <c r="K250" s="357"/>
      <c r="O250" s="156"/>
    </row>
    <row r="251" spans="1:21" ht="27.75" thickBot="1">
      <c r="A251" s="328">
        <v>251</v>
      </c>
      <c r="C251" s="935"/>
      <c r="D251" s="935"/>
      <c r="E251" s="957"/>
      <c r="F251" s="957"/>
      <c r="G251" s="957"/>
      <c r="H251" s="938" t="s">
        <v>1615</v>
      </c>
      <c r="I251" s="997" t="s">
        <v>1262</v>
      </c>
      <c r="J251" s="66" t="s">
        <v>1808</v>
      </c>
      <c r="K251" s="348" t="s">
        <v>696</v>
      </c>
      <c r="M251" s="349" t="str">
        <f>+IF(I251="A",IF(ISBLANK(J251),"未入力あり",IF(J251="はい","○","×")),"")</f>
        <v>○</v>
      </c>
      <c r="O251" s="156"/>
    </row>
    <row r="252" spans="1:21" ht="14.25" thickBot="1">
      <c r="A252" s="328">
        <v>252</v>
      </c>
      <c r="C252" s="935"/>
      <c r="D252" s="935"/>
      <c r="E252" s="957"/>
      <c r="F252" s="957"/>
      <c r="G252" s="957"/>
      <c r="H252" s="974" t="s">
        <v>697</v>
      </c>
      <c r="I252" s="1011" t="s">
        <v>1262</v>
      </c>
      <c r="J252" s="66" t="s">
        <v>1808</v>
      </c>
      <c r="K252" s="386"/>
      <c r="M252" s="349" t="str">
        <f t="shared" ref="M252" si="31">+IF(I252="A",IF(ISBLANK(J252),"未入力あり",IF(J252="はい","○","×")),"")</f>
        <v>○</v>
      </c>
      <c r="O252" s="156"/>
    </row>
    <row r="253" spans="1:21" ht="14.25" thickBot="1">
      <c r="A253" s="328">
        <v>253</v>
      </c>
      <c r="C253" s="935"/>
      <c r="D253" s="935"/>
      <c r="E253" s="957"/>
      <c r="F253" s="957"/>
      <c r="G253" s="957"/>
      <c r="H253" s="981" t="s">
        <v>698</v>
      </c>
      <c r="I253" s="1007" t="s">
        <v>1313</v>
      </c>
      <c r="J253" s="66" t="s">
        <v>1808</v>
      </c>
      <c r="K253" s="379"/>
      <c r="M253" s="349" t="str">
        <f t="shared" ref="M253:M260" si="32">IF(ISBLANK(J253),"未入力あり","〇")</f>
        <v>〇</v>
      </c>
      <c r="O253" s="156"/>
    </row>
    <row r="254" spans="1:21" ht="32.25" customHeight="1" thickBot="1">
      <c r="A254" s="328">
        <v>254</v>
      </c>
      <c r="C254" s="935"/>
      <c r="D254" s="935"/>
      <c r="E254" s="957"/>
      <c r="F254" s="957"/>
      <c r="G254" s="957"/>
      <c r="H254" s="983" t="s">
        <v>1462</v>
      </c>
      <c r="I254" s="1022" t="s">
        <v>1359</v>
      </c>
      <c r="J254" s="100" t="s">
        <v>1817</v>
      </c>
      <c r="K254" s="384"/>
      <c r="M254" s="349" t="str">
        <f t="shared" si="32"/>
        <v>〇</v>
      </c>
      <c r="O254" s="156"/>
    </row>
    <row r="255" spans="1:21" ht="14.25" thickBot="1">
      <c r="A255" s="328">
        <v>255</v>
      </c>
      <c r="C255" s="935"/>
      <c r="D255" s="935"/>
      <c r="E255" s="940"/>
      <c r="F255" s="957"/>
      <c r="G255" s="957"/>
      <c r="H255" s="965" t="s">
        <v>699</v>
      </c>
      <c r="I255" s="1005" t="s">
        <v>565</v>
      </c>
      <c r="J255" s="66" t="s">
        <v>1809</v>
      </c>
      <c r="K255" s="380"/>
      <c r="M255" s="349" t="str">
        <f t="shared" si="32"/>
        <v>〇</v>
      </c>
      <c r="O255" s="156"/>
    </row>
    <row r="256" spans="1:21" ht="14.25" thickBot="1">
      <c r="A256" s="328">
        <v>256</v>
      </c>
      <c r="C256" s="935"/>
      <c r="D256" s="935"/>
      <c r="E256" s="931" t="s">
        <v>1351</v>
      </c>
      <c r="F256" s="933"/>
      <c r="G256" s="933"/>
      <c r="H256" s="938" t="s">
        <v>1515</v>
      </c>
      <c r="I256" s="997" t="s">
        <v>1262</v>
      </c>
      <c r="J256" s="66" t="s">
        <v>1808</v>
      </c>
      <c r="K256" s="871" t="s">
        <v>1517</v>
      </c>
      <c r="M256" s="349" t="str">
        <f>+IF(I256="A",IF(ISBLANK(J256),"未入力あり",IF(J256="はい","○","×")),"")</f>
        <v>○</v>
      </c>
      <c r="O256" s="156"/>
    </row>
    <row r="257" spans="1:21" ht="14.25" thickBot="1">
      <c r="A257" s="328">
        <v>257</v>
      </c>
      <c r="C257" s="935"/>
      <c r="D257" s="935"/>
      <c r="E257" s="1089"/>
      <c r="F257" s="1059"/>
      <c r="G257" s="1059"/>
      <c r="H257" s="974" t="s">
        <v>1516</v>
      </c>
      <c r="I257" s="997" t="s">
        <v>1505</v>
      </c>
      <c r="J257" s="66" t="s">
        <v>1808</v>
      </c>
      <c r="K257" s="384"/>
      <c r="M257" s="349" t="str">
        <f>IF(ISBLANK(J257),"未入力あり","〇")</f>
        <v>〇</v>
      </c>
      <c r="O257" s="156"/>
    </row>
    <row r="258" spans="1:21" ht="45" customHeight="1" thickBot="1">
      <c r="A258" s="328">
        <v>258</v>
      </c>
      <c r="C258" s="935"/>
      <c r="D258" s="935"/>
      <c r="E258" s="1089"/>
      <c r="F258" s="1059"/>
      <c r="G258" s="1059"/>
      <c r="H258" s="1090" t="s">
        <v>1616</v>
      </c>
      <c r="I258" s="994" t="str">
        <f>IF(J257="はい","C",IF(J257="いいえ","-","C／-"))</f>
        <v>C</v>
      </c>
      <c r="J258" s="66" t="s">
        <v>1808</v>
      </c>
      <c r="K258" s="380"/>
      <c r="M258" s="349" t="str">
        <f t="shared" si="32"/>
        <v>〇</v>
      </c>
      <c r="O258" s="156"/>
    </row>
    <row r="259" spans="1:21" ht="14.25" thickBot="1">
      <c r="A259" s="328">
        <v>259</v>
      </c>
      <c r="C259" s="935"/>
      <c r="D259" s="935"/>
      <c r="E259" s="1089"/>
      <c r="F259" s="1059"/>
      <c r="G259" s="1059"/>
      <c r="H259" s="1077" t="s">
        <v>1361</v>
      </c>
      <c r="I259" s="1028" t="s">
        <v>1362</v>
      </c>
      <c r="J259" s="327">
        <v>2</v>
      </c>
      <c r="K259" s="878" t="s">
        <v>1518</v>
      </c>
      <c r="M259" s="349" t="str">
        <f t="shared" si="32"/>
        <v>〇</v>
      </c>
      <c r="O259" s="156"/>
    </row>
    <row r="260" spans="1:21" ht="14.25" thickBot="1">
      <c r="A260" s="328">
        <v>260</v>
      </c>
      <c r="C260" s="935"/>
      <c r="D260" s="935"/>
      <c r="E260" s="1089"/>
      <c r="F260" s="1059"/>
      <c r="G260" s="1059"/>
      <c r="H260" s="1091" t="s">
        <v>1363</v>
      </c>
      <c r="I260" s="995" t="s">
        <v>1359</v>
      </c>
      <c r="J260" s="66" t="s">
        <v>1809</v>
      </c>
      <c r="K260" s="384"/>
      <c r="M260" s="349" t="str">
        <f t="shared" si="32"/>
        <v>〇</v>
      </c>
      <c r="O260" s="156"/>
      <c r="T260" s="372"/>
      <c r="U260" s="373"/>
    </row>
    <row r="261" spans="1:21" ht="14.25" thickBot="1">
      <c r="A261" s="328">
        <v>261</v>
      </c>
      <c r="C261" s="935"/>
      <c r="D261" s="935"/>
      <c r="E261" s="931" t="s">
        <v>1352</v>
      </c>
      <c r="F261" s="933"/>
      <c r="G261" s="933"/>
      <c r="H261" s="938" t="s">
        <v>700</v>
      </c>
      <c r="I261" s="997" t="s">
        <v>1262</v>
      </c>
      <c r="J261" s="66" t="s">
        <v>1808</v>
      </c>
      <c r="K261" s="348"/>
      <c r="M261" s="349" t="str">
        <f t="shared" ref="M261:M271" si="33">+IF(I261="A",IF(ISBLANK(J261),"未入力あり",IF(J261="はい","○","×")),"")</f>
        <v>○</v>
      </c>
      <c r="O261" s="156"/>
    </row>
    <row r="262" spans="1:21" ht="36.6" customHeight="1" thickBot="1">
      <c r="A262" s="328">
        <v>262</v>
      </c>
      <c r="C262" s="935"/>
      <c r="D262" s="935"/>
      <c r="E262" s="931" t="s">
        <v>1353</v>
      </c>
      <c r="F262" s="933"/>
      <c r="G262" s="933"/>
      <c r="H262" s="938" t="s">
        <v>1617</v>
      </c>
      <c r="I262" s="997" t="s">
        <v>1262</v>
      </c>
      <c r="J262" s="66" t="s">
        <v>1808</v>
      </c>
      <c r="K262" s="348" t="s">
        <v>701</v>
      </c>
      <c r="M262" s="349" t="str">
        <f t="shared" si="33"/>
        <v>○</v>
      </c>
      <c r="O262" s="156"/>
    </row>
    <row r="263" spans="1:21" ht="18.75" customHeight="1" thickBot="1">
      <c r="A263" s="328">
        <v>263</v>
      </c>
      <c r="C263" s="935"/>
      <c r="D263" s="935"/>
      <c r="E263" s="1089"/>
      <c r="F263" s="1059"/>
      <c r="G263" s="1059"/>
      <c r="H263" s="951" t="s">
        <v>1364</v>
      </c>
      <c r="I263" s="996" t="s">
        <v>1262</v>
      </c>
      <c r="J263" s="66" t="s">
        <v>1808</v>
      </c>
      <c r="K263" s="375" t="s">
        <v>702</v>
      </c>
      <c r="M263" s="349" t="str">
        <f t="shared" si="33"/>
        <v>○</v>
      </c>
      <c r="O263" s="156"/>
    </row>
    <row r="264" spans="1:21" ht="14.25" thickBot="1">
      <c r="A264" s="328">
        <v>264</v>
      </c>
      <c r="C264" s="935"/>
      <c r="D264" s="935"/>
      <c r="E264" s="931" t="s">
        <v>1354</v>
      </c>
      <c r="F264" s="933"/>
      <c r="G264" s="933"/>
      <c r="H264" s="938" t="s">
        <v>703</v>
      </c>
      <c r="I264" s="997" t="s">
        <v>1262</v>
      </c>
      <c r="J264" s="66" t="s">
        <v>1808</v>
      </c>
      <c r="K264" s="348"/>
      <c r="M264" s="349" t="str">
        <f t="shared" si="33"/>
        <v>○</v>
      </c>
      <c r="O264" s="156"/>
    </row>
    <row r="265" spans="1:21" ht="40.5" customHeight="1" thickBot="1">
      <c r="A265" s="328">
        <v>265</v>
      </c>
      <c r="C265" s="935"/>
      <c r="D265" s="935"/>
      <c r="E265" s="1089"/>
      <c r="F265" s="936" t="s">
        <v>1365</v>
      </c>
      <c r="G265" s="937"/>
      <c r="H265" s="938" t="s">
        <v>704</v>
      </c>
      <c r="I265" s="997" t="s">
        <v>1362</v>
      </c>
      <c r="J265" s="66" t="s">
        <v>1808</v>
      </c>
      <c r="K265" s="348" t="s">
        <v>705</v>
      </c>
      <c r="M265" s="349" t="str">
        <f t="shared" ref="M265" si="34">IF(ISBLANK(J265),"未入力あり","〇")</f>
        <v>〇</v>
      </c>
      <c r="O265" s="156"/>
    </row>
    <row r="266" spans="1:21" ht="31.15" customHeight="1" thickBot="1">
      <c r="A266" s="328">
        <v>266</v>
      </c>
      <c r="C266" s="935"/>
      <c r="D266" s="935"/>
      <c r="E266" s="1089"/>
      <c r="F266" s="936" t="s">
        <v>1366</v>
      </c>
      <c r="G266" s="937"/>
      <c r="H266" s="938" t="s">
        <v>1519</v>
      </c>
      <c r="I266" s="997" t="s">
        <v>1262</v>
      </c>
      <c r="J266" s="66" t="s">
        <v>1808</v>
      </c>
      <c r="K266" s="348"/>
      <c r="M266" s="349" t="str">
        <f t="shared" si="33"/>
        <v>○</v>
      </c>
      <c r="O266" s="156"/>
    </row>
    <row r="267" spans="1:21" ht="14.25" thickBot="1">
      <c r="A267" s="328">
        <v>267</v>
      </c>
      <c r="C267" s="935"/>
      <c r="D267" s="935"/>
      <c r="E267" s="1089"/>
      <c r="F267" s="969" t="s">
        <v>1367</v>
      </c>
      <c r="G267" s="950"/>
      <c r="H267" s="951" t="s">
        <v>706</v>
      </c>
      <c r="I267" s="996" t="s">
        <v>1262</v>
      </c>
      <c r="J267" s="66" t="s">
        <v>1808</v>
      </c>
      <c r="K267" s="375"/>
      <c r="M267" s="349" t="str">
        <f t="shared" si="33"/>
        <v>○</v>
      </c>
      <c r="O267" s="156"/>
    </row>
    <row r="268" spans="1:21" ht="14.25" thickBot="1">
      <c r="A268" s="328">
        <v>268</v>
      </c>
      <c r="C268" s="935"/>
      <c r="D268" s="935"/>
      <c r="E268" s="1089"/>
      <c r="F268" s="936" t="s">
        <v>1368</v>
      </c>
      <c r="G268" s="961"/>
      <c r="H268" s="981" t="s">
        <v>707</v>
      </c>
      <c r="I268" s="1022" t="s">
        <v>1262</v>
      </c>
      <c r="J268" s="66" t="s">
        <v>1808</v>
      </c>
      <c r="K268" s="871"/>
      <c r="M268" s="349" t="str">
        <f t="shared" si="33"/>
        <v>○</v>
      </c>
      <c r="O268" s="156"/>
    </row>
    <row r="269" spans="1:21" ht="24" customHeight="1" thickBot="1">
      <c r="A269" s="328">
        <v>269</v>
      </c>
      <c r="C269" s="935"/>
      <c r="D269" s="935"/>
      <c r="E269" s="1089"/>
      <c r="F269" s="935"/>
      <c r="G269" s="986"/>
      <c r="H269" s="983" t="s">
        <v>1461</v>
      </c>
      <c r="I269" s="1024" t="s">
        <v>1359</v>
      </c>
      <c r="J269" s="100" t="s">
        <v>1817</v>
      </c>
      <c r="K269" s="876"/>
      <c r="M269" s="349" t="str">
        <f t="shared" ref="M269" si="35">IF(ISBLANK(J269),"未入力あり","〇")</f>
        <v>〇</v>
      </c>
      <c r="O269" s="156"/>
    </row>
    <row r="270" spans="1:21" ht="14.25" thickBot="1">
      <c r="A270" s="328">
        <v>270</v>
      </c>
      <c r="C270" s="935"/>
      <c r="D270" s="935"/>
      <c r="E270" s="1089"/>
      <c r="F270" s="939"/>
      <c r="G270" s="948"/>
      <c r="H270" s="941" t="s">
        <v>708</v>
      </c>
      <c r="I270" s="995" t="s">
        <v>1262</v>
      </c>
      <c r="J270" s="66" t="s">
        <v>1808</v>
      </c>
      <c r="K270" s="350"/>
      <c r="M270" s="349" t="str">
        <f t="shared" si="33"/>
        <v>○</v>
      </c>
      <c r="O270" s="156"/>
    </row>
    <row r="271" spans="1:21" ht="14.25" thickBot="1">
      <c r="A271" s="328">
        <v>271</v>
      </c>
      <c r="C271" s="935"/>
      <c r="D271" s="935"/>
      <c r="E271" s="1089"/>
      <c r="F271" s="935" t="s">
        <v>1369</v>
      </c>
      <c r="G271" s="957"/>
      <c r="H271" s="981" t="s">
        <v>709</v>
      </c>
      <c r="I271" s="1022" t="s">
        <v>1262</v>
      </c>
      <c r="J271" s="66" t="s">
        <v>1808</v>
      </c>
      <c r="K271" s="384"/>
      <c r="M271" s="349" t="str">
        <f t="shared" si="33"/>
        <v>○</v>
      </c>
      <c r="O271" s="156"/>
    </row>
    <row r="272" spans="1:21" ht="14.25" thickBot="1">
      <c r="A272" s="328">
        <v>272</v>
      </c>
      <c r="C272" s="935"/>
      <c r="D272" s="935"/>
      <c r="E272" s="931" t="s">
        <v>1355</v>
      </c>
      <c r="F272" s="933"/>
      <c r="G272" s="933"/>
      <c r="H272" s="938" t="s">
        <v>710</v>
      </c>
      <c r="I272" s="997" t="s">
        <v>1459</v>
      </c>
      <c r="J272" s="66" t="s">
        <v>1809</v>
      </c>
      <c r="K272" s="348"/>
      <c r="M272" s="349" t="str">
        <f t="shared" ref="M272:M273" si="36">IF(ISBLANK(J272),"未入力あり","〇")</f>
        <v>〇</v>
      </c>
      <c r="O272" s="156"/>
    </row>
    <row r="273" spans="1:15" ht="27.75" thickBot="1">
      <c r="A273" s="328">
        <v>273</v>
      </c>
      <c r="C273" s="935"/>
      <c r="D273" s="935"/>
      <c r="E273" s="1068"/>
      <c r="F273" s="1045"/>
      <c r="G273" s="1045"/>
      <c r="H273" s="941" t="s">
        <v>1618</v>
      </c>
      <c r="I273" s="995" t="s">
        <v>1459</v>
      </c>
      <c r="J273" s="66" t="s">
        <v>1809</v>
      </c>
      <c r="K273" s="350"/>
      <c r="M273" s="349" t="str">
        <f t="shared" si="36"/>
        <v>〇</v>
      </c>
      <c r="O273" s="156"/>
    </row>
    <row r="274" spans="1:15" ht="27.75" thickBot="1">
      <c r="A274" s="328">
        <v>274</v>
      </c>
      <c r="C274" s="935"/>
      <c r="D274" s="935"/>
      <c r="E274" s="1068" t="s">
        <v>1356</v>
      </c>
      <c r="F274" s="1045"/>
      <c r="G274" s="1045"/>
      <c r="H274" s="970" t="s">
        <v>711</v>
      </c>
      <c r="I274" s="1007" t="s">
        <v>1262</v>
      </c>
      <c r="J274" s="66" t="s">
        <v>1808</v>
      </c>
      <c r="K274" s="379"/>
      <c r="M274" s="349" t="str">
        <f t="shared" ref="M274:M277" si="37">+IF(I274="A",IF(ISBLANK(J274),"未入力あり",IF(J274="はい","○","×")),"")</f>
        <v>○</v>
      </c>
      <c r="O274" s="156"/>
    </row>
    <row r="275" spans="1:15" ht="34.5" customHeight="1" thickBot="1">
      <c r="A275" s="328">
        <v>275</v>
      </c>
      <c r="C275" s="935"/>
      <c r="D275" s="935"/>
      <c r="E275" s="1068" t="s">
        <v>1357</v>
      </c>
      <c r="F275" s="1045"/>
      <c r="G275" s="1045"/>
      <c r="H275" s="970" t="s">
        <v>1619</v>
      </c>
      <c r="I275" s="1007" t="s">
        <v>1262</v>
      </c>
      <c r="J275" s="66" t="s">
        <v>1808</v>
      </c>
      <c r="K275" s="1012"/>
      <c r="M275" s="349" t="str">
        <f t="shared" si="37"/>
        <v>○</v>
      </c>
      <c r="O275" s="156"/>
    </row>
    <row r="276" spans="1:15" ht="34.5" customHeight="1" thickBot="1">
      <c r="A276" s="328">
        <v>276</v>
      </c>
      <c r="C276" s="935"/>
      <c r="D276" s="935"/>
      <c r="E276" s="1089" t="s">
        <v>1358</v>
      </c>
      <c r="F276" s="1059"/>
      <c r="G276" s="1059"/>
      <c r="H276" s="981" t="s">
        <v>1620</v>
      </c>
      <c r="I276" s="1022" t="s">
        <v>1262</v>
      </c>
      <c r="J276" s="66" t="s">
        <v>1808</v>
      </c>
      <c r="K276" s="384" t="s">
        <v>1646</v>
      </c>
      <c r="M276" s="349" t="str">
        <f t="shared" si="37"/>
        <v>○</v>
      </c>
      <c r="O276" s="156"/>
    </row>
    <row r="277" spans="1:15" ht="30.6" customHeight="1" thickBot="1">
      <c r="A277" s="328">
        <v>277</v>
      </c>
      <c r="C277" s="935"/>
      <c r="D277" s="935"/>
      <c r="E277" s="1089"/>
      <c r="F277" s="1059"/>
      <c r="G277" s="1059"/>
      <c r="H277" s="974" t="s">
        <v>712</v>
      </c>
      <c r="I277" s="1024" t="s">
        <v>1563</v>
      </c>
      <c r="J277" s="66" t="s">
        <v>1808</v>
      </c>
      <c r="K277" s="386"/>
      <c r="M277" s="349" t="str">
        <f t="shared" si="37"/>
        <v>○</v>
      </c>
      <c r="O277" s="156"/>
    </row>
    <row r="278" spans="1:15" ht="14.25" thickBot="1">
      <c r="A278" s="328">
        <v>278</v>
      </c>
      <c r="C278" s="935"/>
      <c r="D278" s="1092"/>
      <c r="E278" s="1068"/>
      <c r="F278" s="1059"/>
      <c r="G278" s="1059"/>
      <c r="H278" s="981" t="s">
        <v>713</v>
      </c>
      <c r="I278" s="1022" t="s">
        <v>1562</v>
      </c>
      <c r="J278" s="1160" t="s">
        <v>1809</v>
      </c>
      <c r="K278" s="384"/>
      <c r="M278" s="349" t="str">
        <f t="shared" ref="M278" si="38">IF(ISBLANK(J278),"未入力あり","〇")</f>
        <v>〇</v>
      </c>
      <c r="O278" s="156"/>
    </row>
    <row r="279" spans="1:15" ht="14.25" thickBot="1">
      <c r="A279" s="328">
        <v>279</v>
      </c>
      <c r="C279" s="1092"/>
      <c r="D279" s="1092"/>
      <c r="E279" s="1093" t="s">
        <v>1520</v>
      </c>
      <c r="F279" s="936"/>
      <c r="G279" s="937"/>
      <c r="H279" s="1094"/>
      <c r="I279" s="1094"/>
      <c r="J279" s="1161"/>
      <c r="K279" s="920"/>
      <c r="O279" s="156"/>
    </row>
    <row r="280" spans="1:15" ht="14.25" thickBot="1">
      <c r="A280" s="328">
        <v>280</v>
      </c>
      <c r="C280" s="1092"/>
      <c r="D280" s="1092"/>
      <c r="E280" s="1095"/>
      <c r="F280" s="940"/>
      <c r="G280" s="940"/>
      <c r="H280" s="1096" t="s">
        <v>1553</v>
      </c>
      <c r="I280" s="1096"/>
      <c r="J280" s="1162"/>
      <c r="K280" s="923"/>
      <c r="M280" s="924"/>
      <c r="O280" s="156"/>
    </row>
    <row r="281" spans="1:15" ht="14.25" customHeight="1" thickBot="1">
      <c r="A281" s="328">
        <v>281</v>
      </c>
      <c r="C281" s="916"/>
      <c r="D281" s="916"/>
      <c r="E281" s="1092"/>
      <c r="F281" s="1092" t="s">
        <v>1521</v>
      </c>
      <c r="G281" s="1097"/>
      <c r="H281" s="970" t="s">
        <v>1554</v>
      </c>
      <c r="I281" s="1007" t="s">
        <v>1262</v>
      </c>
      <c r="J281" s="921" t="s">
        <v>1808</v>
      </c>
      <c r="K281" s="922"/>
      <c r="M281" s="349" t="str">
        <f>+IF(I281="A",IF(ISBLANK(J281),"未入力あり",IF(J281="はい","○","×")),"")</f>
        <v>○</v>
      </c>
      <c r="O281" s="156"/>
    </row>
    <row r="282" spans="1:15" ht="14.25" customHeight="1" thickBot="1">
      <c r="A282" s="328">
        <v>282</v>
      </c>
      <c r="C282" s="916"/>
      <c r="D282" s="916"/>
      <c r="E282" s="1092"/>
      <c r="F282" s="936" t="s">
        <v>1522</v>
      </c>
      <c r="G282" s="1080"/>
      <c r="H282" s="1080" t="s">
        <v>1555</v>
      </c>
      <c r="I282" s="1007" t="s">
        <v>1262</v>
      </c>
      <c r="J282" s="66" t="s">
        <v>1808</v>
      </c>
      <c r="K282" s="918"/>
      <c r="M282" s="349" t="str">
        <f t="shared" ref="M282:M294" si="39">+IF(I282="A",IF(ISBLANK(J282),"未入力あり",IF(J282="はい","○","×")),"")</f>
        <v>○</v>
      </c>
      <c r="O282" s="156"/>
    </row>
    <row r="283" spans="1:15" ht="14.25" thickBot="1">
      <c r="A283" s="328">
        <v>283</v>
      </c>
      <c r="C283" s="916"/>
      <c r="D283" s="916"/>
      <c r="E283" s="1092"/>
      <c r="F283" s="1092"/>
      <c r="G283" s="1098" t="s">
        <v>1523</v>
      </c>
      <c r="H283" s="1098" t="s">
        <v>1556</v>
      </c>
      <c r="I283" s="1007" t="s">
        <v>1262</v>
      </c>
      <c r="J283" s="66" t="s">
        <v>1808</v>
      </c>
      <c r="K283" s="918"/>
      <c r="M283" s="349" t="str">
        <f t="shared" si="39"/>
        <v>○</v>
      </c>
      <c r="O283" s="156"/>
    </row>
    <row r="284" spans="1:15" ht="14.25" thickBot="1">
      <c r="A284" s="328">
        <v>284</v>
      </c>
      <c r="C284" s="916"/>
      <c r="D284" s="916"/>
      <c r="E284" s="1092"/>
      <c r="F284" s="1092"/>
      <c r="G284" s="1098" t="s">
        <v>1524</v>
      </c>
      <c r="H284" s="1099" t="s">
        <v>1525</v>
      </c>
      <c r="I284" s="1007" t="s">
        <v>1262</v>
      </c>
      <c r="J284" s="66" t="s">
        <v>1808</v>
      </c>
      <c r="K284" s="918"/>
      <c r="M284" s="349" t="str">
        <f t="shared" si="39"/>
        <v>○</v>
      </c>
      <c r="O284" s="156"/>
    </row>
    <row r="285" spans="1:15" ht="14.25" thickBot="1">
      <c r="A285" s="328">
        <v>285</v>
      </c>
      <c r="C285" s="916"/>
      <c r="D285" s="916"/>
      <c r="E285" s="1092"/>
      <c r="F285" s="1092"/>
      <c r="G285" s="1098" t="s">
        <v>1526</v>
      </c>
      <c r="H285" s="1098" t="s">
        <v>1527</v>
      </c>
      <c r="I285" s="1007" t="s">
        <v>1262</v>
      </c>
      <c r="J285" s="66" t="s">
        <v>1808</v>
      </c>
      <c r="K285" s="918"/>
      <c r="M285" s="349" t="str">
        <f t="shared" si="39"/>
        <v>○</v>
      </c>
      <c r="O285" s="156"/>
    </row>
    <row r="286" spans="1:15" ht="14.25" thickBot="1">
      <c r="A286" s="328">
        <v>286</v>
      </c>
      <c r="C286" s="916"/>
      <c r="D286" s="916"/>
      <c r="E286" s="1092"/>
      <c r="F286" s="1092"/>
      <c r="G286" s="1098" t="s">
        <v>1528</v>
      </c>
      <c r="H286" s="1100" t="s">
        <v>1529</v>
      </c>
      <c r="I286" s="1007" t="s">
        <v>1262</v>
      </c>
      <c r="J286" s="66" t="s">
        <v>1808</v>
      </c>
      <c r="K286" s="918"/>
      <c r="M286" s="349" t="str">
        <f t="shared" si="39"/>
        <v>○</v>
      </c>
      <c r="O286" s="156"/>
    </row>
    <row r="287" spans="1:15" ht="14.25" thickBot="1">
      <c r="A287" s="328">
        <v>287</v>
      </c>
      <c r="C287" s="916"/>
      <c r="D287" s="916"/>
      <c r="E287" s="1092"/>
      <c r="F287" s="1092"/>
      <c r="G287" s="1098" t="s">
        <v>1530</v>
      </c>
      <c r="H287" s="1100" t="s">
        <v>1531</v>
      </c>
      <c r="I287" s="1007" t="s">
        <v>1262</v>
      </c>
      <c r="J287" s="66" t="s">
        <v>1808</v>
      </c>
      <c r="K287" s="918"/>
      <c r="M287" s="349" t="str">
        <f t="shared" si="39"/>
        <v>○</v>
      </c>
      <c r="O287" s="156"/>
    </row>
    <row r="288" spans="1:15" ht="14.25" thickBot="1">
      <c r="A288" s="328">
        <v>288</v>
      </c>
      <c r="C288" s="916"/>
      <c r="D288" s="916"/>
      <c r="E288" s="1092"/>
      <c r="F288" s="1092"/>
      <c r="G288" s="1098" t="s">
        <v>1532</v>
      </c>
      <c r="H288" s="1100" t="s">
        <v>1533</v>
      </c>
      <c r="I288" s="1007" t="s">
        <v>1262</v>
      </c>
      <c r="J288" s="66" t="s">
        <v>1808</v>
      </c>
      <c r="K288" s="918"/>
      <c r="M288" s="349" t="str">
        <f t="shared" si="39"/>
        <v>○</v>
      </c>
      <c r="O288" s="156"/>
    </row>
    <row r="289" spans="1:15" ht="14.25" thickBot="1">
      <c r="A289" s="328">
        <v>289</v>
      </c>
      <c r="C289" s="916"/>
      <c r="D289" s="916"/>
      <c r="E289" s="1092"/>
      <c r="F289" s="1092"/>
      <c r="G289" s="1101" t="s">
        <v>1534</v>
      </c>
      <c r="H289" s="1100" t="s">
        <v>1535</v>
      </c>
      <c r="I289" s="1007" t="s">
        <v>1262</v>
      </c>
      <c r="J289" s="66" t="s">
        <v>1808</v>
      </c>
      <c r="K289" s="918"/>
      <c r="M289" s="349" t="str">
        <f t="shared" si="39"/>
        <v>○</v>
      </c>
      <c r="O289" s="156"/>
    </row>
    <row r="290" spans="1:15" ht="14.25" thickBot="1">
      <c r="A290" s="328">
        <v>290</v>
      </c>
      <c r="C290" s="916"/>
      <c r="D290" s="916"/>
      <c r="E290" s="1092"/>
      <c r="F290" s="936" t="s">
        <v>1536</v>
      </c>
      <c r="G290" s="1102"/>
      <c r="H290" s="1100" t="s">
        <v>1557</v>
      </c>
      <c r="I290" s="1103"/>
      <c r="J290" s="1163"/>
      <c r="K290" s="1150"/>
      <c r="O290" s="156"/>
    </row>
    <row r="291" spans="1:15" ht="14.25" thickBot="1">
      <c r="A291" s="328">
        <v>291</v>
      </c>
      <c r="C291" s="916"/>
      <c r="D291" s="916"/>
      <c r="E291" s="1092"/>
      <c r="F291" s="1092"/>
      <c r="G291" s="1101" t="s">
        <v>1523</v>
      </c>
      <c r="H291" s="1100" t="s">
        <v>1537</v>
      </c>
      <c r="I291" s="1007" t="s">
        <v>1262</v>
      </c>
      <c r="J291" s="66" t="s">
        <v>1808</v>
      </c>
      <c r="K291" s="918"/>
      <c r="M291" s="349" t="str">
        <f t="shared" si="39"/>
        <v>○</v>
      </c>
      <c r="O291" s="156"/>
    </row>
    <row r="292" spans="1:15" ht="14.25" thickBot="1">
      <c r="A292" s="328">
        <v>292</v>
      </c>
      <c r="C292" s="916"/>
      <c r="D292" s="916"/>
      <c r="E292" s="1092"/>
      <c r="F292" s="1092"/>
      <c r="G292" s="1098" t="s">
        <v>1524</v>
      </c>
      <c r="H292" s="1100" t="s">
        <v>1538</v>
      </c>
      <c r="I292" s="1007" t="s">
        <v>1262</v>
      </c>
      <c r="J292" s="66" t="s">
        <v>1808</v>
      </c>
      <c r="K292" s="918"/>
      <c r="M292" s="349" t="str">
        <f t="shared" si="39"/>
        <v>○</v>
      </c>
      <c r="O292" s="156"/>
    </row>
    <row r="293" spans="1:15" ht="14.25" thickBot="1">
      <c r="A293" s="328">
        <v>293</v>
      </c>
      <c r="C293" s="916"/>
      <c r="D293" s="916"/>
      <c r="E293" s="1092"/>
      <c r="F293" s="1092"/>
      <c r="G293" s="1098" t="s">
        <v>1526</v>
      </c>
      <c r="H293" s="1100" t="s">
        <v>1539</v>
      </c>
      <c r="I293" s="1007" t="s">
        <v>1262</v>
      </c>
      <c r="J293" s="66" t="s">
        <v>1808</v>
      </c>
      <c r="K293" s="918"/>
      <c r="M293" s="349" t="str">
        <f t="shared" si="39"/>
        <v>○</v>
      </c>
      <c r="O293" s="156"/>
    </row>
    <row r="294" spans="1:15" ht="14.25" thickBot="1">
      <c r="A294" s="328">
        <v>294</v>
      </c>
      <c r="C294" s="916"/>
      <c r="D294" s="916"/>
      <c r="E294" s="1092"/>
      <c r="F294" s="1092"/>
      <c r="G294" s="1098" t="s">
        <v>1528</v>
      </c>
      <c r="H294" s="1100" t="s">
        <v>1540</v>
      </c>
      <c r="I294" s="1007" t="s">
        <v>1262</v>
      </c>
      <c r="J294" s="66" t="s">
        <v>1808</v>
      </c>
      <c r="K294" s="918"/>
      <c r="M294" s="349" t="str">
        <f t="shared" si="39"/>
        <v>○</v>
      </c>
      <c r="O294" s="156"/>
    </row>
    <row r="295" spans="1:15" ht="14.25" thickBot="1">
      <c r="A295" s="328">
        <v>295</v>
      </c>
      <c r="C295" s="916"/>
      <c r="D295" s="916"/>
      <c r="E295" s="1092"/>
      <c r="F295" s="1092"/>
      <c r="G295" s="1098" t="s">
        <v>1530</v>
      </c>
      <c r="H295" s="1100" t="s">
        <v>1541</v>
      </c>
      <c r="I295" s="1007" t="s">
        <v>1262</v>
      </c>
      <c r="J295" s="66" t="s">
        <v>1808</v>
      </c>
      <c r="K295" s="918"/>
      <c r="M295" s="349" t="str">
        <f>+IF(I295="A",IF(ISBLANK(J295),"未入力あり",IF(J295="はい","○","×")),"")</f>
        <v>○</v>
      </c>
      <c r="O295" s="156"/>
    </row>
    <row r="296" spans="1:15" ht="14.25" thickBot="1">
      <c r="A296" s="328">
        <v>296</v>
      </c>
      <c r="C296" s="916"/>
      <c r="D296" s="916"/>
      <c r="E296" s="1092"/>
      <c r="F296" s="936" t="s">
        <v>1542</v>
      </c>
      <c r="G296" s="1104"/>
      <c r="H296" s="1105" t="s">
        <v>1543</v>
      </c>
      <c r="I296" s="1149"/>
      <c r="J296" s="1163"/>
      <c r="K296" s="1150"/>
      <c r="O296" s="156"/>
    </row>
    <row r="297" spans="1:15" ht="14.25" thickBot="1">
      <c r="A297" s="328">
        <v>297</v>
      </c>
      <c r="C297" s="916"/>
      <c r="D297" s="916"/>
      <c r="E297" s="1092"/>
      <c r="F297" s="1092"/>
      <c r="G297" s="1098" t="s">
        <v>1523</v>
      </c>
      <c r="H297" s="1098" t="s">
        <v>1544</v>
      </c>
      <c r="I297" s="1007" t="s">
        <v>1262</v>
      </c>
      <c r="J297" s="66" t="s">
        <v>1808</v>
      </c>
      <c r="K297" s="918"/>
      <c r="M297" s="349" t="str">
        <f t="shared" ref="M297:M300" si="40">+IF(I297="A",IF(ISBLANK(J297),"未入力あり",IF(J297="はい","○","×")),"")</f>
        <v>○</v>
      </c>
      <c r="O297" s="156"/>
    </row>
    <row r="298" spans="1:15" ht="14.25" thickBot="1">
      <c r="A298" s="328">
        <v>298</v>
      </c>
      <c r="C298" s="916"/>
      <c r="D298" s="916"/>
      <c r="E298" s="1092"/>
      <c r="F298" s="1092"/>
      <c r="G298" s="1098" t="s">
        <v>1524</v>
      </c>
      <c r="H298" s="1098" t="s">
        <v>1545</v>
      </c>
      <c r="I298" s="1007" t="s">
        <v>1262</v>
      </c>
      <c r="J298" s="66" t="s">
        <v>1808</v>
      </c>
      <c r="K298" s="918"/>
      <c r="M298" s="349" t="str">
        <f t="shared" si="40"/>
        <v>○</v>
      </c>
      <c r="O298" s="156"/>
    </row>
    <row r="299" spans="1:15" ht="14.25" thickBot="1">
      <c r="A299" s="328">
        <v>299</v>
      </c>
      <c r="C299" s="916"/>
      <c r="D299" s="916"/>
      <c r="E299" s="1092"/>
      <c r="F299" s="1092"/>
      <c r="G299" s="1098" t="s">
        <v>1526</v>
      </c>
      <c r="H299" s="1098" t="s">
        <v>1546</v>
      </c>
      <c r="I299" s="1007" t="s">
        <v>1262</v>
      </c>
      <c r="J299" s="66" t="s">
        <v>1808</v>
      </c>
      <c r="K299" s="918"/>
      <c r="M299" s="349" t="str">
        <f t="shared" si="40"/>
        <v>○</v>
      </c>
      <c r="O299" s="156"/>
    </row>
    <row r="300" spans="1:15" ht="14.25" thickBot="1">
      <c r="A300" s="328">
        <v>300</v>
      </c>
      <c r="C300" s="916"/>
      <c r="D300" s="916"/>
      <c r="E300" s="1092"/>
      <c r="F300" s="1092"/>
      <c r="G300" s="1101" t="s">
        <v>1528</v>
      </c>
      <c r="H300" s="1098" t="s">
        <v>1558</v>
      </c>
      <c r="I300" s="1007" t="s">
        <v>1262</v>
      </c>
      <c r="J300" s="66" t="s">
        <v>1808</v>
      </c>
      <c r="K300" s="918"/>
      <c r="M300" s="349" t="str">
        <f t="shared" si="40"/>
        <v>○</v>
      </c>
      <c r="O300" s="156"/>
    </row>
    <row r="301" spans="1:15" ht="14.25" thickBot="1">
      <c r="A301" s="328">
        <v>301</v>
      </c>
      <c r="C301" s="916"/>
      <c r="D301" s="916"/>
      <c r="E301" s="1092"/>
      <c r="F301" s="936"/>
      <c r="G301" s="1098" t="s">
        <v>1521</v>
      </c>
      <c r="H301" s="1100" t="s">
        <v>1548</v>
      </c>
      <c r="I301" s="1007" t="s">
        <v>1262</v>
      </c>
      <c r="J301" s="919" t="s">
        <v>1818</v>
      </c>
      <c r="K301" s="918"/>
      <c r="M301" s="349" t="str">
        <f t="shared" ref="M301:M304" si="41">+IF(I301="A",IF(ISBLANK(J301),"未入力あり",IF(J301="どちらでもない","×","○")),"")</f>
        <v>○</v>
      </c>
      <c r="O301" s="156"/>
    </row>
    <row r="302" spans="1:15" ht="14.25" thickBot="1">
      <c r="A302" s="328">
        <v>302</v>
      </c>
      <c r="C302" s="916"/>
      <c r="D302" s="916"/>
      <c r="E302" s="1092"/>
      <c r="F302" s="1092"/>
      <c r="G302" s="1098" t="s">
        <v>1522</v>
      </c>
      <c r="H302" s="1100" t="s">
        <v>1549</v>
      </c>
      <c r="I302" s="1007" t="s">
        <v>1262</v>
      </c>
      <c r="J302" s="919" t="s">
        <v>1818</v>
      </c>
      <c r="K302" s="918"/>
      <c r="M302" s="349" t="str">
        <f t="shared" si="41"/>
        <v>○</v>
      </c>
      <c r="O302" s="156"/>
    </row>
    <row r="303" spans="1:15" ht="14.25" thickBot="1">
      <c r="A303" s="328">
        <v>303</v>
      </c>
      <c r="C303" s="916"/>
      <c r="D303" s="916"/>
      <c r="E303" s="1092"/>
      <c r="F303" s="1092"/>
      <c r="G303" s="1098" t="s">
        <v>1536</v>
      </c>
      <c r="H303" s="1100" t="s">
        <v>1551</v>
      </c>
      <c r="I303" s="1007" t="s">
        <v>1262</v>
      </c>
      <c r="J303" s="919" t="s">
        <v>1819</v>
      </c>
      <c r="K303" s="918"/>
      <c r="M303" s="349" t="str">
        <f t="shared" si="41"/>
        <v>○</v>
      </c>
      <c r="O303" s="156"/>
    </row>
    <row r="304" spans="1:15" ht="14.25" thickBot="1">
      <c r="A304" s="328">
        <v>304</v>
      </c>
      <c r="C304" s="916"/>
      <c r="D304" s="916"/>
      <c r="E304" s="1092"/>
      <c r="F304" s="1092"/>
      <c r="G304" s="1098" t="s">
        <v>1542</v>
      </c>
      <c r="H304" s="1100" t="s">
        <v>1550</v>
      </c>
      <c r="I304" s="1007" t="s">
        <v>1262</v>
      </c>
      <c r="J304" s="919" t="s">
        <v>1819</v>
      </c>
      <c r="K304" s="918"/>
      <c r="M304" s="349" t="str">
        <f t="shared" si="41"/>
        <v>○</v>
      </c>
      <c r="O304" s="156"/>
    </row>
    <row r="305" spans="1:21" ht="14.25" thickBot="1">
      <c r="A305" s="328">
        <v>305</v>
      </c>
      <c r="C305" s="916"/>
      <c r="D305" s="1092"/>
      <c r="E305" s="939"/>
      <c r="F305" s="939"/>
      <c r="G305" s="1106" t="s">
        <v>1547</v>
      </c>
      <c r="H305" s="1107" t="s">
        <v>1552</v>
      </c>
      <c r="I305" s="1007" t="s">
        <v>1262</v>
      </c>
      <c r="J305" s="919" t="s">
        <v>1819</v>
      </c>
      <c r="K305" s="918"/>
      <c r="M305" s="349" t="str">
        <f>+IF(I305="A",IF(ISBLANK(J305),"未入力あり",IF(J305="どちらでもない","×","○")),"")</f>
        <v>○</v>
      </c>
      <c r="O305" s="156"/>
    </row>
    <row r="306" spans="1:21" ht="14.25" thickBot="1">
      <c r="A306" s="328">
        <v>306</v>
      </c>
      <c r="C306" s="351"/>
      <c r="D306" s="1064" t="s">
        <v>635</v>
      </c>
      <c r="E306" s="988" t="s">
        <v>714</v>
      </c>
      <c r="F306" s="989"/>
      <c r="G306" s="989"/>
      <c r="H306" s="990"/>
      <c r="I306" s="1037"/>
      <c r="J306" s="1155"/>
      <c r="K306" s="357"/>
      <c r="O306" s="156"/>
      <c r="T306" s="49" t="s">
        <v>861</v>
      </c>
    </row>
    <row r="307" spans="1:21" ht="27.75" thickBot="1">
      <c r="A307" s="328">
        <v>307</v>
      </c>
      <c r="C307" s="351"/>
      <c r="D307" s="935"/>
      <c r="E307" s="931" t="s">
        <v>1351</v>
      </c>
      <c r="F307" s="933"/>
      <c r="G307" s="933"/>
      <c r="H307" s="938" t="s">
        <v>715</v>
      </c>
      <c r="I307" s="997" t="s">
        <v>1262</v>
      </c>
      <c r="J307" s="66" t="s">
        <v>1808</v>
      </c>
      <c r="K307" s="348"/>
      <c r="M307" s="349" t="str">
        <f t="shared" ref="M307" si="42">+IF(I307="A",IF(ISBLANK(J307),"未入力あり",IF(J307="はい","○","×")),"")</f>
        <v>○</v>
      </c>
      <c r="O307" s="156"/>
    </row>
    <row r="308" spans="1:21" ht="27.75" thickBot="1">
      <c r="A308" s="328">
        <v>308</v>
      </c>
      <c r="C308" s="351"/>
      <c r="D308" s="935"/>
      <c r="E308" s="931" t="s">
        <v>1352</v>
      </c>
      <c r="F308" s="933"/>
      <c r="G308" s="933"/>
      <c r="H308" s="938" t="s">
        <v>1621</v>
      </c>
      <c r="I308" s="997" t="s">
        <v>1262</v>
      </c>
      <c r="J308" s="327">
        <v>1</v>
      </c>
      <c r="K308" s="348" t="s">
        <v>1370</v>
      </c>
      <c r="M308" s="349" t="str">
        <f t="shared" ref="M308" si="43">+IF(I308="A",IF(ISBLANK(J308),"未入力あり",IF(J308&gt;=1,"○","×")),"")</f>
        <v>○</v>
      </c>
      <c r="O308" s="156"/>
    </row>
    <row r="309" spans="1:21" ht="14.25" thickBot="1">
      <c r="A309" s="328">
        <v>309</v>
      </c>
      <c r="C309" s="351"/>
      <c r="D309" s="935"/>
      <c r="E309" s="1068"/>
      <c r="F309" s="1045"/>
      <c r="G309" s="1069"/>
      <c r="H309" s="1041" t="s">
        <v>1371</v>
      </c>
      <c r="I309" s="995" t="s">
        <v>1362</v>
      </c>
      <c r="J309" s="327">
        <v>0</v>
      </c>
      <c r="K309" s="350"/>
      <c r="M309" s="349" t="str">
        <f t="shared" ref="M309" si="44">IF(ISBLANK(J309),"未入力あり","〇")</f>
        <v>〇</v>
      </c>
      <c r="O309" s="156"/>
      <c r="T309" s="372"/>
      <c r="U309" s="373"/>
    </row>
    <row r="310" spans="1:21" ht="14.25" thickBot="1">
      <c r="A310" s="328">
        <v>310</v>
      </c>
      <c r="C310" s="351"/>
      <c r="D310" s="935"/>
      <c r="E310" s="1068" t="s">
        <v>1353</v>
      </c>
      <c r="F310" s="1045"/>
      <c r="G310" s="1045"/>
      <c r="H310" s="970" t="s">
        <v>716</v>
      </c>
      <c r="I310" s="1007" t="s">
        <v>1262</v>
      </c>
      <c r="J310" s="66" t="s">
        <v>1808</v>
      </c>
      <c r="K310" s="379"/>
      <c r="M310" s="349" t="str">
        <f t="shared" ref="M310:M311" si="45">+IF(I310="A",IF(ISBLANK(J310),"未入力あり",IF(J310="はい","○","×")),"")</f>
        <v>○</v>
      </c>
      <c r="O310" s="156"/>
    </row>
    <row r="311" spans="1:21" ht="14.25" thickBot="1">
      <c r="A311" s="328">
        <v>311</v>
      </c>
      <c r="C311" s="351"/>
      <c r="D311" s="939"/>
      <c r="E311" s="1108" t="s">
        <v>1354</v>
      </c>
      <c r="F311" s="1060"/>
      <c r="G311" s="1060"/>
      <c r="H311" s="951" t="s">
        <v>1622</v>
      </c>
      <c r="I311" s="996" t="s">
        <v>1262</v>
      </c>
      <c r="J311" s="66" t="s">
        <v>1808</v>
      </c>
      <c r="K311" s="375"/>
      <c r="M311" s="349" t="str">
        <f t="shared" si="45"/>
        <v>○</v>
      </c>
      <c r="O311" s="156"/>
    </row>
    <row r="312" spans="1:21" ht="14.25" thickBot="1">
      <c r="A312" s="328">
        <v>312</v>
      </c>
      <c r="C312" s="351"/>
      <c r="D312" s="1064" t="s">
        <v>652</v>
      </c>
      <c r="E312" s="988" t="s">
        <v>717</v>
      </c>
      <c r="F312" s="989"/>
      <c r="G312" s="989"/>
      <c r="H312" s="990"/>
      <c r="I312" s="1037"/>
      <c r="J312" s="1155"/>
      <c r="K312" s="357"/>
      <c r="O312" s="156"/>
    </row>
    <row r="313" spans="1:21" ht="14.25" thickBot="1">
      <c r="A313" s="328">
        <v>313</v>
      </c>
      <c r="C313" s="351"/>
      <c r="D313" s="935"/>
      <c r="E313" s="931" t="s">
        <v>1351</v>
      </c>
      <c r="F313" s="933"/>
      <c r="G313" s="933"/>
      <c r="H313" s="938" t="s">
        <v>718</v>
      </c>
      <c r="I313" s="1109" t="s">
        <v>1262</v>
      </c>
      <c r="J313" s="66" t="s">
        <v>1808</v>
      </c>
      <c r="K313" s="348"/>
      <c r="M313" s="349" t="str">
        <f t="shared" ref="M313:M340" si="46">+IF(I313="A",IF(ISBLANK(J313),"未入力あり",IF(J313="はい","○","×")),"")</f>
        <v>○</v>
      </c>
      <c r="O313" s="156"/>
    </row>
    <row r="314" spans="1:21" ht="27.75" thickBot="1">
      <c r="A314" s="328">
        <v>314</v>
      </c>
      <c r="C314" s="351"/>
      <c r="D314" s="935"/>
      <c r="E314" s="1089"/>
      <c r="F314" s="1059"/>
      <c r="G314" s="1059"/>
      <c r="H314" s="983" t="s">
        <v>1461</v>
      </c>
      <c r="I314" s="1110" t="s">
        <v>1359</v>
      </c>
      <c r="J314" s="100" t="s">
        <v>1817</v>
      </c>
      <c r="K314" s="384"/>
      <c r="M314" s="349" t="str">
        <f t="shared" ref="M314:M330" si="47">IF(ISBLANK(J314),"未入力あり","〇")</f>
        <v>〇</v>
      </c>
      <c r="O314" s="156"/>
    </row>
    <row r="315" spans="1:21" ht="52.15" customHeight="1" thickBot="1">
      <c r="A315" s="328">
        <v>315</v>
      </c>
      <c r="C315" s="351"/>
      <c r="D315" s="935"/>
      <c r="E315" s="1089"/>
      <c r="F315" s="1059"/>
      <c r="G315" s="1059"/>
      <c r="H315" s="974" t="s">
        <v>1623</v>
      </c>
      <c r="I315" s="1111" t="s">
        <v>1372</v>
      </c>
      <c r="J315" s="66" t="s">
        <v>1808</v>
      </c>
      <c r="K315" s="982" t="s">
        <v>1460</v>
      </c>
      <c r="M315" s="349" t="str">
        <f t="shared" si="47"/>
        <v>〇</v>
      </c>
      <c r="O315" s="156"/>
    </row>
    <row r="316" spans="1:21" ht="14.25" thickBot="1">
      <c r="A316" s="328">
        <v>316</v>
      </c>
      <c r="B316" s="351"/>
      <c r="C316" s="351"/>
      <c r="D316" s="935"/>
      <c r="E316" s="1089"/>
      <c r="F316" s="1059"/>
      <c r="G316" s="1059"/>
      <c r="H316" s="1054" t="s">
        <v>719</v>
      </c>
      <c r="I316" s="1112" t="s">
        <v>565</v>
      </c>
      <c r="J316" s="66" t="s">
        <v>1808</v>
      </c>
      <c r="K316" s="404"/>
      <c r="M316" s="349" t="str">
        <f t="shared" si="47"/>
        <v>〇</v>
      </c>
      <c r="O316" s="156"/>
    </row>
    <row r="317" spans="1:21" ht="27.75" thickBot="1">
      <c r="A317" s="328">
        <v>317</v>
      </c>
      <c r="B317" s="351"/>
      <c r="C317" s="351"/>
      <c r="D317" s="935"/>
      <c r="E317" s="1089"/>
      <c r="F317" s="1059"/>
      <c r="G317" s="1059"/>
      <c r="H317" s="1113" t="s">
        <v>1624</v>
      </c>
      <c r="I317" s="994" t="str">
        <f>IF(J316="はい","B",IF(J316="いいえ","-","B／-"))</f>
        <v>B</v>
      </c>
      <c r="J317" s="66" t="s">
        <v>1808</v>
      </c>
      <c r="K317" s="391"/>
      <c r="M317" s="349" t="str">
        <f t="shared" si="47"/>
        <v>〇</v>
      </c>
      <c r="O317" s="156"/>
    </row>
    <row r="318" spans="1:21" ht="14.25" thickBot="1">
      <c r="A318" s="328">
        <v>318</v>
      </c>
      <c r="B318" s="351"/>
      <c r="C318" s="351"/>
      <c r="D318" s="935"/>
      <c r="E318" s="1089"/>
      <c r="F318" s="1059"/>
      <c r="G318" s="1059"/>
      <c r="H318" s="987" t="s">
        <v>1461</v>
      </c>
      <c r="I318" s="1110" t="s">
        <v>1359</v>
      </c>
      <c r="J318" s="100" t="s">
        <v>1820</v>
      </c>
      <c r="K318" s="384"/>
      <c r="M318" s="349" t="str">
        <f t="shared" si="47"/>
        <v>〇</v>
      </c>
      <c r="O318" s="156"/>
    </row>
    <row r="319" spans="1:21" ht="14.25" thickBot="1">
      <c r="A319" s="328">
        <v>319</v>
      </c>
      <c r="B319" s="351"/>
      <c r="C319" s="351"/>
      <c r="D319" s="935"/>
      <c r="E319" s="1089"/>
      <c r="F319" s="1059"/>
      <c r="G319" s="1059"/>
      <c r="H319" s="1054" t="s">
        <v>720</v>
      </c>
      <c r="I319" s="1112" t="s">
        <v>565</v>
      </c>
      <c r="J319" s="66" t="s">
        <v>1808</v>
      </c>
      <c r="K319" s="404"/>
      <c r="M319" s="349" t="str">
        <f t="shared" si="47"/>
        <v>〇</v>
      </c>
      <c r="O319" s="156"/>
    </row>
    <row r="320" spans="1:21" ht="27.75" thickBot="1">
      <c r="A320" s="328">
        <v>320</v>
      </c>
      <c r="B320" s="351"/>
      <c r="C320" s="351"/>
      <c r="D320" s="935"/>
      <c r="E320" s="1089"/>
      <c r="F320" s="1059"/>
      <c r="G320" s="1059"/>
      <c r="H320" s="1113" t="s">
        <v>1625</v>
      </c>
      <c r="I320" s="994" t="str">
        <f>IF(J319="はい","B",IF(J319="いいえ","-","B／-"))</f>
        <v>B</v>
      </c>
      <c r="J320" s="66" t="s">
        <v>1808</v>
      </c>
      <c r="K320" s="391"/>
      <c r="M320" s="349" t="str">
        <f t="shared" si="47"/>
        <v>〇</v>
      </c>
      <c r="O320" s="156"/>
    </row>
    <row r="321" spans="1:21" ht="27.75" thickBot="1">
      <c r="A321" s="328">
        <v>321</v>
      </c>
      <c r="B321" s="351"/>
      <c r="C321" s="351"/>
      <c r="D321" s="935"/>
      <c r="E321" s="1089"/>
      <c r="F321" s="1059"/>
      <c r="G321" s="1059"/>
      <c r="H321" s="987" t="s">
        <v>1461</v>
      </c>
      <c r="I321" s="1110" t="s">
        <v>1359</v>
      </c>
      <c r="J321" s="100" t="s">
        <v>1821</v>
      </c>
      <c r="K321" s="384"/>
      <c r="M321" s="349" t="str">
        <f t="shared" si="47"/>
        <v>〇</v>
      </c>
      <c r="O321" s="156"/>
    </row>
    <row r="322" spans="1:21" ht="14.25" thickBot="1">
      <c r="A322" s="328">
        <v>322</v>
      </c>
      <c r="B322" s="351"/>
      <c r="C322" s="351"/>
      <c r="D322" s="935"/>
      <c r="E322" s="1089"/>
      <c r="F322" s="1059"/>
      <c r="G322" s="407"/>
      <c r="H322" s="405" t="s">
        <v>721</v>
      </c>
      <c r="I322" s="421" t="s">
        <v>565</v>
      </c>
      <c r="J322" s="66" t="s">
        <v>1808</v>
      </c>
      <c r="K322" s="404"/>
      <c r="M322" s="349" t="str">
        <f t="shared" si="47"/>
        <v>〇</v>
      </c>
      <c r="O322" s="156"/>
    </row>
    <row r="323" spans="1:21" ht="27.75" thickBot="1">
      <c r="A323" s="328">
        <v>323</v>
      </c>
      <c r="B323" s="351"/>
      <c r="C323" s="351"/>
      <c r="D323" s="935"/>
      <c r="E323" s="1089"/>
      <c r="F323" s="1059"/>
      <c r="G323" s="407"/>
      <c r="H323" s="1113" t="s">
        <v>1626</v>
      </c>
      <c r="I323" s="994" t="str">
        <f>IF(J322="はい","B",IF(J322="いいえ","-","B／-"))</f>
        <v>B</v>
      </c>
      <c r="J323" s="1014" t="s">
        <v>1808</v>
      </c>
      <c r="K323" s="1113"/>
      <c r="M323" s="349" t="str">
        <f t="shared" si="47"/>
        <v>〇</v>
      </c>
      <c r="O323" s="156"/>
    </row>
    <row r="324" spans="1:21" ht="27.75" thickBot="1">
      <c r="A324" s="328">
        <v>324</v>
      </c>
      <c r="B324" s="351"/>
      <c r="C324" s="351"/>
      <c r="D324" s="935"/>
      <c r="E324" s="1089"/>
      <c r="F324" s="1059"/>
      <c r="G324" s="407"/>
      <c r="H324" s="987" t="s">
        <v>1461</v>
      </c>
      <c r="I324" s="1110" t="s">
        <v>1359</v>
      </c>
      <c r="J324" s="100" t="s">
        <v>1821</v>
      </c>
      <c r="K324" s="1023"/>
      <c r="M324" s="349" t="str">
        <f t="shared" si="47"/>
        <v>〇</v>
      </c>
      <c r="O324" s="156"/>
    </row>
    <row r="325" spans="1:21" ht="14.25" thickBot="1">
      <c r="A325" s="328">
        <v>325</v>
      </c>
      <c r="B325" s="351"/>
      <c r="C325" s="351"/>
      <c r="D325" s="935"/>
      <c r="E325" s="1089"/>
      <c r="F325" s="1059"/>
      <c r="G325" s="407"/>
      <c r="H325" s="1054" t="s">
        <v>1627</v>
      </c>
      <c r="I325" s="1112" t="s">
        <v>565</v>
      </c>
      <c r="J325" s="1014" t="s">
        <v>1808</v>
      </c>
      <c r="K325" s="1032"/>
      <c r="M325" s="349" t="str">
        <f t="shared" si="47"/>
        <v>〇</v>
      </c>
      <c r="O325" s="156"/>
    </row>
    <row r="326" spans="1:21" ht="27.75" thickBot="1">
      <c r="A326" s="328">
        <v>326</v>
      </c>
      <c r="B326" s="351"/>
      <c r="C326" s="351"/>
      <c r="D326" s="935"/>
      <c r="E326" s="1089"/>
      <c r="F326" s="1059"/>
      <c r="G326" s="407"/>
      <c r="H326" s="1113" t="s">
        <v>1628</v>
      </c>
      <c r="I326" s="994" t="str">
        <f>IF(J325="はい","B",IF(J325="いいえ","-","B／-"))</f>
        <v>B</v>
      </c>
      <c r="J326" s="1014" t="s">
        <v>1808</v>
      </c>
      <c r="K326" s="1113"/>
      <c r="M326" s="349" t="str">
        <f t="shared" si="47"/>
        <v>〇</v>
      </c>
      <c r="O326" s="156"/>
    </row>
    <row r="327" spans="1:21" ht="27.75" thickBot="1">
      <c r="A327" s="328">
        <v>327</v>
      </c>
      <c r="B327" s="351"/>
      <c r="C327" s="351"/>
      <c r="D327" s="935"/>
      <c r="E327" s="1089"/>
      <c r="F327" s="1059"/>
      <c r="G327" s="407"/>
      <c r="H327" s="987" t="s">
        <v>1461</v>
      </c>
      <c r="I327" s="1110" t="s">
        <v>1359</v>
      </c>
      <c r="J327" s="100" t="s">
        <v>1821</v>
      </c>
      <c r="K327" s="1023"/>
      <c r="M327" s="349" t="str">
        <f t="shared" si="47"/>
        <v>〇</v>
      </c>
      <c r="O327" s="156"/>
    </row>
    <row r="328" spans="1:21" ht="14.25" thickBot="1">
      <c r="A328" s="328">
        <v>328</v>
      </c>
      <c r="B328" s="351"/>
      <c r="C328" s="351"/>
      <c r="D328" s="935"/>
      <c r="E328" s="1089"/>
      <c r="F328" s="1059"/>
      <c r="G328" s="407"/>
      <c r="H328" s="1054" t="s">
        <v>722</v>
      </c>
      <c r="I328" s="1112" t="s">
        <v>565</v>
      </c>
      <c r="J328" s="1014" t="s">
        <v>1808</v>
      </c>
      <c r="K328" s="1032"/>
      <c r="M328" s="349" t="str">
        <f t="shared" si="47"/>
        <v>〇</v>
      </c>
      <c r="O328" s="156"/>
    </row>
    <row r="329" spans="1:21" ht="27.75" thickBot="1">
      <c r="A329" s="328">
        <v>329</v>
      </c>
      <c r="B329" s="351"/>
      <c r="C329" s="351"/>
      <c r="D329" s="935"/>
      <c r="E329" s="1089"/>
      <c r="F329" s="1059"/>
      <c r="G329" s="407"/>
      <c r="H329" s="1113" t="s">
        <v>1629</v>
      </c>
      <c r="I329" s="994" t="str">
        <f>IF(J328="はい","B",IF(J328="いいえ","-","B／-"))</f>
        <v>B</v>
      </c>
      <c r="J329" s="1014" t="s">
        <v>1808</v>
      </c>
      <c r="K329" s="1113"/>
      <c r="M329" s="349" t="str">
        <f t="shared" si="47"/>
        <v>〇</v>
      </c>
      <c r="O329" s="156"/>
    </row>
    <row r="330" spans="1:21" ht="27.75" thickBot="1">
      <c r="A330" s="328">
        <v>330</v>
      </c>
      <c r="B330" s="351"/>
      <c r="C330" s="351"/>
      <c r="D330" s="935"/>
      <c r="E330" s="1089"/>
      <c r="F330" s="1059"/>
      <c r="G330" s="407"/>
      <c r="H330" s="987" t="s">
        <v>1461</v>
      </c>
      <c r="I330" s="1110" t="s">
        <v>1359</v>
      </c>
      <c r="J330" s="100" t="s">
        <v>1817</v>
      </c>
      <c r="K330" s="1023"/>
      <c r="M330" s="349" t="str">
        <f t="shared" si="47"/>
        <v>〇</v>
      </c>
      <c r="O330" s="156"/>
    </row>
    <row r="331" spans="1:21" ht="14.25" thickBot="1">
      <c r="A331" s="328">
        <v>331</v>
      </c>
      <c r="C331" s="351"/>
      <c r="D331" s="935"/>
      <c r="E331" s="1089"/>
      <c r="F331" s="1059"/>
      <c r="G331" s="407"/>
      <c r="H331" s="941" t="s">
        <v>723</v>
      </c>
      <c r="I331" s="1114" t="s">
        <v>1262</v>
      </c>
      <c r="J331" s="1014" t="s">
        <v>1808</v>
      </c>
      <c r="K331" s="1029"/>
      <c r="M331" s="349" t="str">
        <f t="shared" si="46"/>
        <v>○</v>
      </c>
      <c r="O331" s="156"/>
    </row>
    <row r="332" spans="1:21" ht="14.25" thickBot="1">
      <c r="A332" s="328">
        <v>332</v>
      </c>
      <c r="C332" s="351"/>
      <c r="D332" s="935"/>
      <c r="E332" s="931" t="s">
        <v>1352</v>
      </c>
      <c r="F332" s="933"/>
      <c r="G332" s="358"/>
      <c r="H332" s="938" t="s">
        <v>724</v>
      </c>
      <c r="I332" s="1109" t="s">
        <v>1262</v>
      </c>
      <c r="J332" s="1014" t="s">
        <v>1808</v>
      </c>
      <c r="K332" s="1030"/>
      <c r="M332" s="349" t="str">
        <f t="shared" si="46"/>
        <v>○</v>
      </c>
      <c r="O332" s="156"/>
    </row>
    <row r="333" spans="1:21" ht="27.75" thickBot="1">
      <c r="A333" s="328">
        <v>333</v>
      </c>
      <c r="C333" s="351"/>
      <c r="D333" s="935"/>
      <c r="E333" s="1089"/>
      <c r="F333" s="1059"/>
      <c r="G333" s="407"/>
      <c r="H333" s="941" t="s">
        <v>1373</v>
      </c>
      <c r="I333" s="1115" t="s">
        <v>1262</v>
      </c>
      <c r="J333" s="1014" t="s">
        <v>1808</v>
      </c>
      <c r="K333" s="1026"/>
      <c r="M333" s="349" t="str">
        <f t="shared" si="46"/>
        <v>○</v>
      </c>
      <c r="O333" s="156"/>
    </row>
    <row r="334" spans="1:21" ht="14.25" thickBot="1">
      <c r="A334" s="328">
        <v>334</v>
      </c>
      <c r="C334" s="351"/>
      <c r="D334" s="935"/>
      <c r="E334" s="931" t="s">
        <v>1353</v>
      </c>
      <c r="F334" s="933"/>
      <c r="G334" s="358"/>
      <c r="H334" s="938" t="s">
        <v>725</v>
      </c>
      <c r="I334" s="1116" t="s">
        <v>1262</v>
      </c>
      <c r="J334" s="1014" t="s">
        <v>1808</v>
      </c>
      <c r="K334" s="1015"/>
      <c r="M334" s="349" t="str">
        <f>+IF(I334="A",IF(ISBLANK(J334),"未入力あり",IF(J334="はい","○","×")),"")</f>
        <v>○</v>
      </c>
      <c r="O334" s="156"/>
    </row>
    <row r="335" spans="1:21" ht="41.25" thickBot="1">
      <c r="A335" s="328">
        <v>335</v>
      </c>
      <c r="C335" s="351"/>
      <c r="D335" s="935"/>
      <c r="E335" s="1068"/>
      <c r="F335" s="1045"/>
      <c r="G335" s="419"/>
      <c r="H335" s="960" t="s">
        <v>1374</v>
      </c>
      <c r="I335" s="1117" t="s">
        <v>565</v>
      </c>
      <c r="J335" s="1034">
        <v>17</v>
      </c>
      <c r="K335" s="1118" t="s">
        <v>1731</v>
      </c>
      <c r="M335" s="349" t="str">
        <f>IF(ISBLANK(J335),"未入力あり","〇")</f>
        <v>〇</v>
      </c>
      <c r="O335" s="156"/>
    </row>
    <row r="336" spans="1:21" ht="14.25" thickBot="1">
      <c r="A336" s="328">
        <v>336</v>
      </c>
      <c r="C336" s="351"/>
      <c r="D336" s="935"/>
      <c r="E336" s="931" t="s">
        <v>1354</v>
      </c>
      <c r="F336" s="933"/>
      <c r="G336" s="358"/>
      <c r="H336" s="938" t="s">
        <v>726</v>
      </c>
      <c r="I336" s="1109" t="s">
        <v>1262</v>
      </c>
      <c r="J336" s="1014" t="s">
        <v>1808</v>
      </c>
      <c r="K336" s="1015"/>
      <c r="M336" s="349" t="str">
        <f t="shared" si="46"/>
        <v>○</v>
      </c>
      <c r="O336" s="156"/>
      <c r="T336" s="372"/>
      <c r="U336" s="373"/>
    </row>
    <row r="337" spans="1:21" ht="41.25" thickBot="1">
      <c r="A337" s="328">
        <v>337</v>
      </c>
      <c r="C337" s="351"/>
      <c r="D337" s="935"/>
      <c r="E337" s="1068"/>
      <c r="F337" s="1045"/>
      <c r="G337" s="419"/>
      <c r="H337" s="1041" t="s">
        <v>1461</v>
      </c>
      <c r="I337" s="1110" t="s">
        <v>1375</v>
      </c>
      <c r="J337" s="100" t="s">
        <v>1822</v>
      </c>
      <c r="K337" s="1012"/>
      <c r="M337" s="349" t="str">
        <f>IF(ISBLANK(J337),"未入力あり","〇")</f>
        <v>〇</v>
      </c>
      <c r="O337" s="156"/>
      <c r="T337" s="372"/>
      <c r="U337" s="373"/>
    </row>
    <row r="338" spans="1:21" ht="27.75" thickBot="1">
      <c r="A338" s="328">
        <v>338</v>
      </c>
      <c r="C338" s="351"/>
      <c r="D338" s="935"/>
      <c r="E338" s="1068" t="s">
        <v>1355</v>
      </c>
      <c r="F338" s="1045"/>
      <c r="G338" s="408"/>
      <c r="H338" s="970" t="s">
        <v>727</v>
      </c>
      <c r="I338" s="1114" t="s">
        <v>1262</v>
      </c>
      <c r="J338" s="1014" t="s">
        <v>1808</v>
      </c>
      <c r="K338" s="1012" t="s">
        <v>728</v>
      </c>
      <c r="M338" s="349" t="str">
        <f>+IF(I338="A",IF(ISBLANK(J338),"未入力あり",IF(J338="はい","○","×")),"")</f>
        <v>○</v>
      </c>
      <c r="O338" s="156"/>
    </row>
    <row r="339" spans="1:21" ht="27.75" thickBot="1">
      <c r="A339" s="328">
        <v>339</v>
      </c>
      <c r="C339" s="351"/>
      <c r="D339" s="935"/>
      <c r="E339" s="1089" t="s">
        <v>1356</v>
      </c>
      <c r="F339" s="1059"/>
      <c r="G339" s="407"/>
      <c r="H339" s="981" t="s">
        <v>729</v>
      </c>
      <c r="I339" s="1119" t="s">
        <v>1262</v>
      </c>
      <c r="J339" s="1014" t="s">
        <v>1808</v>
      </c>
      <c r="K339" s="1023"/>
      <c r="M339" s="349" t="str">
        <f t="shared" si="46"/>
        <v>○</v>
      </c>
      <c r="O339" s="156"/>
    </row>
    <row r="340" spans="1:21" ht="27.75" thickBot="1">
      <c r="A340" s="328">
        <v>340</v>
      </c>
      <c r="C340" s="364"/>
      <c r="D340" s="939"/>
      <c r="E340" s="1068"/>
      <c r="F340" s="1045"/>
      <c r="G340" s="408"/>
      <c r="H340" s="941" t="s">
        <v>730</v>
      </c>
      <c r="I340" s="1115" t="s">
        <v>1262</v>
      </c>
      <c r="J340" s="1014" t="s">
        <v>1808</v>
      </c>
      <c r="K340" s="1026"/>
      <c r="M340" s="349" t="str">
        <f t="shared" si="46"/>
        <v>○</v>
      </c>
      <c r="O340" s="156"/>
    </row>
    <row r="341" spans="1:21" ht="14.25" thickBot="1">
      <c r="A341" s="328">
        <v>341</v>
      </c>
      <c r="C341" s="991">
        <v>5</v>
      </c>
      <c r="D341" s="343" t="s">
        <v>731</v>
      </c>
      <c r="E341" s="344"/>
      <c r="F341" s="344"/>
      <c r="G341" s="344"/>
      <c r="H341" s="345"/>
      <c r="I341" s="346"/>
      <c r="J341" s="1159"/>
      <c r="K341" s="347"/>
      <c r="O341" s="156"/>
    </row>
    <row r="342" spans="1:21" ht="14.25" thickBot="1">
      <c r="A342" s="328">
        <v>342</v>
      </c>
      <c r="C342" s="935"/>
      <c r="D342" s="1072" t="s">
        <v>671</v>
      </c>
      <c r="E342" s="989"/>
      <c r="F342" s="354"/>
      <c r="G342" s="354"/>
      <c r="H342" s="362" t="s">
        <v>732</v>
      </c>
      <c r="I342" s="420" t="s">
        <v>1262</v>
      </c>
      <c r="J342" s="66" t="s">
        <v>1808</v>
      </c>
      <c r="K342" s="348"/>
      <c r="M342" s="349" t="str">
        <f t="shared" ref="M342" si="48">+IF(I342="A",IF(ISBLANK(J342),"未入力あり",IF(J342="はい","○","×")),"")</f>
        <v>○</v>
      </c>
      <c r="O342" s="156"/>
    </row>
    <row r="343" spans="1:21" ht="14.25" thickBot="1">
      <c r="A343" s="328">
        <v>343</v>
      </c>
      <c r="C343" s="935"/>
      <c r="D343" s="1072" t="s">
        <v>674</v>
      </c>
      <c r="E343" s="989"/>
      <c r="F343" s="354"/>
      <c r="G343" s="354"/>
      <c r="H343" s="362" t="s">
        <v>733</v>
      </c>
      <c r="I343" s="420"/>
      <c r="J343" s="1164"/>
      <c r="K343" s="348" t="s">
        <v>734</v>
      </c>
      <c r="O343" s="156"/>
    </row>
    <row r="344" spans="1:21" ht="14.25" thickBot="1">
      <c r="A344" s="328">
        <v>344</v>
      </c>
      <c r="C344" s="935"/>
      <c r="D344" s="1073"/>
      <c r="E344" s="1074"/>
      <c r="F344" s="411"/>
      <c r="G344" s="411"/>
      <c r="H344" s="422" t="s">
        <v>735</v>
      </c>
      <c r="I344" s="423" t="s">
        <v>565</v>
      </c>
      <c r="J344" s="66" t="s">
        <v>1808</v>
      </c>
      <c r="K344" s="412"/>
      <c r="M344" s="349" t="str">
        <f>+IF(ISBLANK(J344),"未入力あり","〇")</f>
        <v>〇</v>
      </c>
      <c r="O344" s="156"/>
    </row>
    <row r="345" spans="1:21" ht="14.25" thickBot="1">
      <c r="A345" s="328">
        <v>345</v>
      </c>
      <c r="C345" s="935"/>
      <c r="D345" s="1073"/>
      <c r="E345" s="1074"/>
      <c r="F345" s="411"/>
      <c r="G345" s="411"/>
      <c r="H345" s="1085" t="s">
        <v>736</v>
      </c>
      <c r="I345" s="994" t="str">
        <f>IF(J344="はい","C",IF(J344="いいえ","-","C/-"))</f>
        <v>C</v>
      </c>
      <c r="J345" s="1014" t="s">
        <v>1808</v>
      </c>
      <c r="K345" s="1120" t="s">
        <v>1775</v>
      </c>
      <c r="M345" s="349" t="str">
        <f>+IF(ISBLANK(J345),"未入力あり","〇")</f>
        <v>〇</v>
      </c>
      <c r="O345" s="156"/>
    </row>
    <row r="346" spans="1:21" ht="14.25" thickBot="1">
      <c r="A346" s="328">
        <v>346</v>
      </c>
      <c r="C346" s="935"/>
      <c r="D346" s="1073"/>
      <c r="E346" s="1074"/>
      <c r="F346" s="411"/>
      <c r="G346" s="411"/>
      <c r="H346" s="1077" t="s">
        <v>737</v>
      </c>
      <c r="I346" s="994" t="str">
        <f>IF(J344="はい","C",IF(J344="いいえ","-","C/-"))</f>
        <v>C</v>
      </c>
      <c r="J346" s="1034">
        <v>1</v>
      </c>
      <c r="K346" s="1120" t="s">
        <v>1775</v>
      </c>
      <c r="M346" s="349" t="str">
        <f>+IF(ISBLANK(J346),"未入力あり","〇")</f>
        <v>〇</v>
      </c>
      <c r="O346" s="156"/>
      <c r="T346" s="372"/>
      <c r="U346" s="373"/>
    </row>
    <row r="347" spans="1:21" ht="14.25" thickBot="1">
      <c r="A347" s="328">
        <v>347</v>
      </c>
      <c r="C347" s="935"/>
      <c r="D347" s="1073"/>
      <c r="E347" s="1074"/>
      <c r="F347" s="411"/>
      <c r="G347" s="411"/>
      <c r="H347" s="981" t="s">
        <v>738</v>
      </c>
      <c r="I347" s="1119"/>
      <c r="J347" s="1165"/>
      <c r="K347" s="982"/>
      <c r="O347" s="156"/>
    </row>
    <row r="348" spans="1:21" ht="14.25" thickBot="1">
      <c r="A348" s="328">
        <v>348</v>
      </c>
      <c r="C348" s="935"/>
      <c r="D348" s="1073"/>
      <c r="E348" s="1074"/>
      <c r="F348" s="411"/>
      <c r="G348" s="411"/>
      <c r="H348" s="1121" t="s">
        <v>739</v>
      </c>
      <c r="I348" s="1122" t="s">
        <v>565</v>
      </c>
      <c r="J348" s="1014" t="s">
        <v>1808</v>
      </c>
      <c r="K348" s="1090"/>
      <c r="M348" s="349" t="str">
        <f>IF(ISBLANK(J348),"未入力あり","〇")</f>
        <v>〇</v>
      </c>
      <c r="O348" s="156"/>
    </row>
    <row r="349" spans="1:21" ht="14.25" thickBot="1">
      <c r="A349" s="328">
        <v>349</v>
      </c>
      <c r="C349" s="935"/>
      <c r="D349" s="1073"/>
      <c r="E349" s="1074"/>
      <c r="F349" s="411"/>
      <c r="G349" s="411"/>
      <c r="H349" s="1077" t="s">
        <v>740</v>
      </c>
      <c r="I349" s="994" t="str">
        <f>IF(J348="はい","A",IF(J348="いいえ","-","A/-"))</f>
        <v>A</v>
      </c>
      <c r="J349" s="1014" t="s">
        <v>1808</v>
      </c>
      <c r="K349" s="1118" t="s">
        <v>1774</v>
      </c>
      <c r="M349" s="872" t="str">
        <f>+IF(I349="A",IF(ISBLANK(J349),"未入力あり",IF(J349&gt;=1,"○","×")),"")</f>
        <v>○</v>
      </c>
      <c r="O349" s="156"/>
    </row>
    <row r="350" spans="1:21" ht="14.25" thickBot="1">
      <c r="A350" s="328">
        <v>350</v>
      </c>
      <c r="C350" s="935"/>
      <c r="D350" s="1073"/>
      <c r="E350" s="1074"/>
      <c r="F350" s="411"/>
      <c r="G350" s="411"/>
      <c r="H350" s="1023" t="s">
        <v>1376</v>
      </c>
      <c r="I350" s="1022" t="str">
        <f>IF(OR(J344="はい",J348="はい"),"A",IF(AND(J344="いいえ",J348="いいえ"),"-","A/-"))</f>
        <v>A</v>
      </c>
      <c r="J350" s="1014" t="s">
        <v>1808</v>
      </c>
      <c r="K350" s="1123" t="s">
        <v>1773</v>
      </c>
      <c r="M350" s="872" t="str">
        <f t="shared" ref="M350" si="49">+IF(I350="A",IF(ISBLANK(J350),"未入力あり",IF(J350&gt;=1,"○","×")),"")</f>
        <v>○</v>
      </c>
      <c r="O350" s="156"/>
    </row>
    <row r="351" spans="1:21" ht="21" customHeight="1" thickBot="1">
      <c r="A351" s="328">
        <v>351</v>
      </c>
      <c r="C351" s="939"/>
      <c r="D351" s="1081"/>
      <c r="E351" s="1082"/>
      <c r="F351" s="417"/>
      <c r="G351" s="417"/>
      <c r="H351" s="1041" t="s">
        <v>1377</v>
      </c>
      <c r="I351" s="1115" t="s">
        <v>1375</v>
      </c>
      <c r="J351" s="100" t="s">
        <v>1823</v>
      </c>
      <c r="K351" s="1026"/>
      <c r="M351" s="349" t="str">
        <f>IF(ISBLANK(J351),"未入力あり","〇")</f>
        <v>〇</v>
      </c>
      <c r="O351" s="156"/>
    </row>
    <row r="352" spans="1:21" ht="14.25" thickBot="1">
      <c r="A352" s="328">
        <v>352</v>
      </c>
      <c r="C352" s="991">
        <v>6</v>
      </c>
      <c r="D352" s="1061" t="s">
        <v>741</v>
      </c>
      <c r="E352" s="1062"/>
      <c r="F352" s="344"/>
      <c r="G352" s="344"/>
      <c r="H352" s="345"/>
      <c r="I352" s="346"/>
      <c r="J352" s="1159"/>
      <c r="K352" s="347"/>
      <c r="O352" s="156"/>
    </row>
    <row r="353" spans="1:15" ht="27.75" thickBot="1">
      <c r="A353" s="328">
        <v>353</v>
      </c>
      <c r="C353" s="351"/>
      <c r="D353" s="409" t="s">
        <v>671</v>
      </c>
      <c r="E353" s="354"/>
      <c r="F353" s="354"/>
      <c r="G353" s="354"/>
      <c r="H353" s="362" t="s">
        <v>742</v>
      </c>
      <c r="I353" s="363" t="s">
        <v>1262</v>
      </c>
      <c r="J353" s="66" t="s">
        <v>1808</v>
      </c>
      <c r="K353" s="348"/>
      <c r="M353" s="349" t="str">
        <f>+IF(I353="A",IF(ISBLANK(J353),"未入力あり",IF(J353="はい","○","×")),"")</f>
        <v>○</v>
      </c>
      <c r="O353" s="156"/>
    </row>
    <row r="354" spans="1:15" ht="14.25" thickBot="1">
      <c r="A354" s="328">
        <v>354</v>
      </c>
      <c r="C354" s="351"/>
      <c r="D354" s="410"/>
      <c r="E354" s="411"/>
      <c r="F354" s="411"/>
      <c r="G354" s="411"/>
      <c r="H354" s="941" t="s">
        <v>743</v>
      </c>
      <c r="I354" s="1009" t="s">
        <v>1262</v>
      </c>
      <c r="J354" s="1014" t="s">
        <v>1808</v>
      </c>
      <c r="K354" s="1026"/>
      <c r="M354" s="349" t="str">
        <f>+IF(I354="A",IF(ISBLANK(J354),"未入力あり",IF(J354="はい","○","×")),"")</f>
        <v>○</v>
      </c>
      <c r="O354" s="156"/>
    </row>
    <row r="355" spans="1:15" ht="14.25" thickBot="1">
      <c r="A355" s="328">
        <v>355</v>
      </c>
      <c r="C355" s="351"/>
      <c r="D355" s="414" t="s">
        <v>674</v>
      </c>
      <c r="E355" s="415"/>
      <c r="F355" s="415"/>
      <c r="G355" s="415"/>
      <c r="H355" s="951" t="s">
        <v>744</v>
      </c>
      <c r="I355" s="996" t="s">
        <v>1262</v>
      </c>
      <c r="J355" s="1014" t="s">
        <v>1808</v>
      </c>
      <c r="K355" s="1015" t="s">
        <v>1630</v>
      </c>
      <c r="M355" s="349" t="str">
        <f>+IF(I355="A",IF(ISBLANK(J355),"未入力あり",IF(J355="はい","○","×")),"")</f>
        <v>○</v>
      </c>
      <c r="O355" s="156"/>
    </row>
    <row r="356" spans="1:15" ht="50.25" customHeight="1" thickBot="1">
      <c r="A356" s="328">
        <v>356</v>
      </c>
      <c r="C356" s="351"/>
      <c r="D356" s="410" t="s">
        <v>676</v>
      </c>
      <c r="E356" s="411"/>
      <c r="F356" s="411"/>
      <c r="G356" s="411"/>
      <c r="H356" s="942" t="s">
        <v>745</v>
      </c>
      <c r="I356" s="994" t="s">
        <v>1378</v>
      </c>
      <c r="J356" s="1014" t="s">
        <v>1808</v>
      </c>
      <c r="K356" s="1016" t="s">
        <v>1631</v>
      </c>
      <c r="M356" s="349" t="str">
        <f t="shared" ref="M356:M357" si="50">IF(ISBLANK(J356),"未入力あり","〇")</f>
        <v>〇</v>
      </c>
      <c r="O356" s="156"/>
    </row>
    <row r="357" spans="1:15" ht="42.75" customHeight="1" thickBot="1">
      <c r="A357" s="328">
        <v>357</v>
      </c>
      <c r="C357" s="351"/>
      <c r="D357" s="410"/>
      <c r="E357" s="411"/>
      <c r="F357" s="411"/>
      <c r="G357" s="411"/>
      <c r="H357" s="1124" t="s">
        <v>1729</v>
      </c>
      <c r="I357" s="1125" t="s">
        <v>565</v>
      </c>
      <c r="J357" s="1205" t="s">
        <v>1824</v>
      </c>
      <c r="K357" s="1126" t="s">
        <v>1630</v>
      </c>
      <c r="M357" s="349" t="str">
        <f t="shared" si="50"/>
        <v>〇</v>
      </c>
      <c r="O357" s="156"/>
    </row>
    <row r="358" spans="1:15" ht="14.25" thickBot="1">
      <c r="A358" s="328">
        <v>358</v>
      </c>
      <c r="C358" s="351"/>
      <c r="D358" s="416"/>
      <c r="E358" s="417"/>
      <c r="F358" s="417"/>
      <c r="G358" s="418"/>
      <c r="H358" s="960" t="s">
        <v>1730</v>
      </c>
      <c r="I358" s="1127" t="s">
        <v>565</v>
      </c>
      <c r="J358" s="100">
        <v>202205</v>
      </c>
      <c r="K358" s="1128" t="s">
        <v>1630</v>
      </c>
      <c r="M358" s="872" t="str">
        <f>+IF(J356="はい",IF(ISBLANK(J358),"未入力あり",IF(J356="いいえ","×","〇")),"")</f>
        <v>〇</v>
      </c>
      <c r="O358" s="156"/>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9"/>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3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4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5000000}">
      <formula1>T22</formula1>
      <formula2>U22</formula2>
    </dataValidation>
    <dataValidation type="list" allowBlank="1" showInputMessage="1" showErrorMessage="1" error="選択肢から選んでください" sqref="J46:J47 J36:J43 J144 J149 J258 J326 J317 J320 J323 J329 J208" xr:uid="{00000000-0002-0000-0500-000006000000}">
      <formula1>"はい,いいえ,-"</formula1>
    </dataValidation>
    <dataValidation type="list" allowBlank="1" showInputMessage="1" showErrorMessage="1" error="選択肢から選んでください" sqref="J301:J305" xr:uid="{00000000-0002-0000-0500-000007000000}">
      <formula1>"自施設で対応,適切な機関に紹介,どちらでもない"</formula1>
    </dataValidation>
    <dataValidation type="list" allowBlank="1" showInputMessage="1" showErrorMessage="1" error="選択肢から選んでください" sqref="J357" xr:uid="{AEA726F6-9FEE-454A-8634-1B8ED699CAA1}">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workbookViewId="0">
      <selection activeCell="G38" sqref="G38"/>
    </sheetView>
  </sheetViews>
  <sheetFormatPr defaultRowHeight="13.5"/>
  <cols>
    <col min="1" max="1" width="3.625" customWidth="1"/>
    <col min="2" max="2" width="9.25" style="79" bestFit="1" customWidth="1"/>
  </cols>
  <sheetData>
    <row r="1" spans="1:6" ht="17.25">
      <c r="A1" s="16" t="s">
        <v>749</v>
      </c>
    </row>
    <row r="3" spans="1:6">
      <c r="A3" s="78" t="s">
        <v>750</v>
      </c>
    </row>
    <row r="4" spans="1:6">
      <c r="A4" t="s">
        <v>436</v>
      </c>
      <c r="B4" s="424"/>
      <c r="C4" s="440" t="s">
        <v>1633</v>
      </c>
      <c r="F4" s="440"/>
    </row>
    <row r="5" spans="1:6">
      <c r="A5" t="s">
        <v>444</v>
      </c>
      <c r="B5" s="424"/>
      <c r="C5" t="s">
        <v>1512</v>
      </c>
    </row>
    <row r="6" spans="1:6" ht="14.25" thickBot="1">
      <c r="A6" t="s">
        <v>751</v>
      </c>
      <c r="B6" s="80">
        <f>IFERROR(B5*12,"")</f>
        <v>0</v>
      </c>
      <c r="C6" t="s">
        <v>752</v>
      </c>
    </row>
    <row r="7" spans="1:6" ht="14.25" thickBot="1">
      <c r="A7" t="s">
        <v>753</v>
      </c>
      <c r="B7" s="81" t="str">
        <f>IFERROR(B4/B6,"")</f>
        <v/>
      </c>
      <c r="C7" t="s">
        <v>754</v>
      </c>
    </row>
    <row r="10" spans="1:6">
      <c r="A10" s="440" t="s">
        <v>1514</v>
      </c>
    </row>
    <row r="11" spans="1:6">
      <c r="A11" t="s">
        <v>1513</v>
      </c>
    </row>
    <row r="12" spans="1:6">
      <c r="C12" s="79"/>
      <c r="D12" s="79"/>
      <c r="E12" s="79"/>
      <c r="F12" s="79"/>
    </row>
  </sheetData>
  <sheetProtection selectLockedCells="1"/>
  <phoneticPr fontId="9"/>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85" zoomScaleNormal="100" zoomScaleSheetLayoutView="85" workbookViewId="0">
      <selection activeCell="B9" sqref="B9"/>
    </sheetView>
  </sheetViews>
  <sheetFormatPr defaultColWidth="9" defaultRowHeight="13.5"/>
  <cols>
    <col min="1" max="1" width="3.625" style="426" customWidth="1"/>
    <col min="2" max="2" width="9.75" style="426" customWidth="1"/>
    <col min="3" max="3" width="64.875" style="426" customWidth="1"/>
    <col min="4" max="4" width="76.625" style="426" customWidth="1"/>
    <col min="5" max="5" width="54.625" style="426" customWidth="1"/>
    <col min="6" max="6" width="6" style="426" customWidth="1"/>
    <col min="7" max="7" width="6" style="425" hidden="1" customWidth="1"/>
    <col min="8" max="8" width="2.625" style="426" customWidth="1"/>
    <col min="9" max="9" width="2.25" style="49" customWidth="1"/>
    <col min="10" max="10" width="80.625" style="332" customWidth="1"/>
    <col min="11" max="16384" width="9" style="426"/>
  </cols>
  <sheetData>
    <row r="1" spans="1:10" ht="20.25" customHeight="1" thickBot="1">
      <c r="A1" s="1321" t="s">
        <v>755</v>
      </c>
      <c r="B1" s="1322"/>
      <c r="C1" s="1322"/>
      <c r="D1" s="1322"/>
      <c r="E1" s="1322"/>
      <c r="F1" s="1322"/>
      <c r="I1" s="83"/>
      <c r="J1" s="85"/>
    </row>
    <row r="2" spans="1:10" ht="24.95" customHeight="1" thickTop="1" thickBot="1">
      <c r="A2" s="1323" t="s">
        <v>756</v>
      </c>
      <c r="B2" s="1324"/>
      <c r="C2" s="1324"/>
      <c r="D2" s="1324"/>
      <c r="E2" s="1324"/>
      <c r="F2" s="427" t="str">
        <f>IF(COUNTIF(G:G,"未入力")&gt;=1,"未入力",IF(COUNTIF(G:G,"入力済")=0,"不要","入力済"))</f>
        <v>不要</v>
      </c>
      <c r="G2" s="1320"/>
      <c r="H2" s="1317"/>
      <c r="I2" s="104"/>
    </row>
    <row r="3" spans="1:10" ht="5.0999999999999996" customHeight="1" thickTop="1">
      <c r="G3" s="1320"/>
      <c r="H3" s="1317"/>
      <c r="I3" s="428"/>
      <c r="J3" s="429"/>
    </row>
    <row r="4" spans="1:10" ht="20.100000000000001" customHeight="1">
      <c r="D4" s="430" t="s">
        <v>757</v>
      </c>
      <c r="E4" s="1325" t="str">
        <f>表紙!E2</f>
        <v>パナソニック健康保険組合　松下記念病院</v>
      </c>
      <c r="F4" s="1326"/>
      <c r="G4" s="1320"/>
      <c r="H4" s="1317"/>
      <c r="I4" s="431"/>
      <c r="J4" s="177" t="s">
        <v>234</v>
      </c>
    </row>
    <row r="5" spans="1:10" ht="20.100000000000001" customHeight="1">
      <c r="D5" s="430" t="s">
        <v>911</v>
      </c>
      <c r="E5" t="s">
        <v>1720</v>
      </c>
      <c r="F5"/>
      <c r="J5" s="74"/>
    </row>
    <row r="6" spans="1:10" ht="54" customHeight="1">
      <c r="A6" s="1327" t="s">
        <v>1721</v>
      </c>
      <c r="B6" s="1327"/>
      <c r="C6" s="1327"/>
      <c r="D6" s="1327"/>
      <c r="E6" s="1327"/>
      <c r="F6" s="1327"/>
      <c r="J6" s="74"/>
    </row>
    <row r="7" spans="1:10" ht="30" customHeight="1" thickBot="1">
      <c r="A7" s="432"/>
      <c r="B7" s="433" t="s">
        <v>758</v>
      </c>
      <c r="C7" s="434" t="s">
        <v>1734</v>
      </c>
      <c r="D7" s="435" t="s">
        <v>759</v>
      </c>
      <c r="E7" s="1328" t="s">
        <v>760</v>
      </c>
      <c r="F7" s="1329"/>
      <c r="J7" s="74"/>
    </row>
    <row r="8" spans="1:10" customFormat="1" ht="62.25" customHeight="1" thickBot="1">
      <c r="A8" s="436" t="s">
        <v>761</v>
      </c>
      <c r="B8" s="437">
        <v>126</v>
      </c>
      <c r="C8" s="438" t="s">
        <v>1569</v>
      </c>
      <c r="D8" s="439" t="s">
        <v>1732</v>
      </c>
      <c r="E8" s="1318" t="s">
        <v>1733</v>
      </c>
      <c r="F8" s="1319"/>
      <c r="G8" s="440"/>
      <c r="I8" s="49"/>
      <c r="J8" s="74"/>
    </row>
    <row r="9" spans="1:10" customFormat="1" ht="62.25" customHeight="1" thickBot="1">
      <c r="A9" s="441">
        <v>1</v>
      </c>
      <c r="B9" s="1234"/>
      <c r="C9" s="438" t="str">
        <f>+IFERROR(VLOOKUP($B9,'様式４(機能別)'!$A:$K,8,0),"")</f>
        <v/>
      </c>
      <c r="D9" s="105"/>
      <c r="E9" s="1315"/>
      <c r="F9" s="1316"/>
      <c r="G9" s="442" t="str">
        <f>IF(B9&lt;&gt;"",IF(AND(D9&lt;&gt;"",E9&lt;&gt;""),"入力済","未入力"),"不要")</f>
        <v>不要</v>
      </c>
      <c r="I9" s="49"/>
      <c r="J9" s="74"/>
    </row>
    <row r="10" spans="1:10" ht="62.25" customHeight="1" thickBot="1">
      <c r="A10" s="441">
        <v>2</v>
      </c>
      <c r="B10" s="77"/>
      <c r="C10" s="439" t="str">
        <f>+IFERROR(VLOOKUP($B10,'様式４(機能別)'!$A:$K,8,0),"")</f>
        <v/>
      </c>
      <c r="D10" s="105"/>
      <c r="E10" s="1315"/>
      <c r="F10" s="1316"/>
      <c r="G10" s="442" t="str">
        <f>IF(B10&lt;&gt;"",IF(AND(D10&lt;&gt;"",E10&lt;&gt;""),"入力済","未入力"),"不要")</f>
        <v>不要</v>
      </c>
      <c r="H10" s="443"/>
      <c r="I10" s="444"/>
      <c r="J10" s="154"/>
    </row>
    <row r="11" spans="1:10" ht="62.25" customHeight="1" thickBot="1">
      <c r="A11" s="441">
        <v>3</v>
      </c>
      <c r="B11" s="77"/>
      <c r="C11" s="439" t="str">
        <f>+IFERROR(VLOOKUP($B11,'様式４(機能別)'!$A:$K,8,0),"")</f>
        <v/>
      </c>
      <c r="D11" s="105"/>
      <c r="E11" s="1315"/>
      <c r="F11" s="1316"/>
      <c r="G11" s="442" t="str">
        <f>IF(B11&lt;&gt;"",IF(AND(D11&lt;&gt;"",E11&lt;&gt;""),"入力済","未入力"),"不要")</f>
        <v>不要</v>
      </c>
      <c r="H11" s="443"/>
      <c r="J11" s="154"/>
    </row>
    <row r="12" spans="1:10" ht="62.25" customHeight="1" thickBot="1">
      <c r="A12" s="441">
        <v>4</v>
      </c>
      <c r="B12" s="77"/>
      <c r="C12" s="439" t="str">
        <f>+IFERROR(VLOOKUP($B12,'様式４(機能別)'!$A:$K,8,0),"")</f>
        <v/>
      </c>
      <c r="D12" s="105"/>
      <c r="E12" s="1315"/>
      <c r="F12" s="1316"/>
      <c r="G12" s="425" t="str">
        <f t="shared" ref="G12:G29" si="0">IF(B12&lt;&gt;"",IF(AND(D12&lt;&gt;"",E12&lt;&gt;""),"入力済","未入力"),"不要")</f>
        <v>不要</v>
      </c>
      <c r="J12" s="74"/>
    </row>
    <row r="13" spans="1:10" ht="62.25" customHeight="1" thickBot="1">
      <c r="A13" s="441">
        <v>5</v>
      </c>
      <c r="B13" s="77"/>
      <c r="C13" s="439" t="str">
        <f>+IFERROR(VLOOKUP($B13,'様式４(機能別)'!$A:$K,8,0),"")</f>
        <v/>
      </c>
      <c r="D13" s="105"/>
      <c r="E13" s="1315"/>
      <c r="F13" s="1316"/>
      <c r="G13" s="425" t="str">
        <f t="shared" si="0"/>
        <v>不要</v>
      </c>
      <c r="J13" s="74"/>
    </row>
    <row r="14" spans="1:10" ht="62.25" customHeight="1" thickBot="1">
      <c r="A14" s="441">
        <v>6</v>
      </c>
      <c r="B14" s="77"/>
      <c r="C14" s="439" t="str">
        <f>+IFERROR(VLOOKUP($B14,'様式４(機能別)'!$A:$K,8,0),"")</f>
        <v/>
      </c>
      <c r="D14" s="105"/>
      <c r="E14" s="1315"/>
      <c r="F14" s="1316"/>
      <c r="G14" s="442" t="str">
        <f t="shared" si="0"/>
        <v>不要</v>
      </c>
      <c r="H14" s="445"/>
      <c r="I14" s="444"/>
      <c r="J14" s="74"/>
    </row>
    <row r="15" spans="1:10" ht="62.25" customHeight="1" thickBot="1">
      <c r="A15" s="441">
        <v>7</v>
      </c>
      <c r="B15" s="77"/>
      <c r="C15" s="439" t="str">
        <f>+IFERROR(VLOOKUP($B15,'様式４(機能別)'!$A:$K,8,0),"")</f>
        <v/>
      </c>
      <c r="D15" s="105"/>
      <c r="E15" s="1315"/>
      <c r="F15" s="1316"/>
      <c r="G15" s="442" t="str">
        <f t="shared" si="0"/>
        <v>不要</v>
      </c>
      <c r="H15" s="445"/>
      <c r="J15" s="74"/>
    </row>
    <row r="16" spans="1:10" ht="62.25" customHeight="1" thickBot="1">
      <c r="A16" s="441">
        <v>8</v>
      </c>
      <c r="B16" s="77"/>
      <c r="C16" s="439" t="str">
        <f>+IFERROR(VLOOKUP($B16,'様式４(機能別)'!$A:$K,8,0),"")</f>
        <v/>
      </c>
      <c r="D16" s="105"/>
      <c r="E16" s="1315"/>
      <c r="F16" s="1316"/>
      <c r="G16" s="425" t="str">
        <f t="shared" si="0"/>
        <v>不要</v>
      </c>
      <c r="J16" s="74"/>
    </row>
    <row r="17" spans="1:10" ht="62.25" customHeight="1" thickBot="1">
      <c r="A17" s="441">
        <v>9</v>
      </c>
      <c r="B17" s="77"/>
      <c r="C17" s="439" t="str">
        <f>+IFERROR(VLOOKUP($B17,'様式４(機能別)'!$A:$K,8,0),"")</f>
        <v/>
      </c>
      <c r="D17" s="105"/>
      <c r="E17" s="1315"/>
      <c r="F17" s="1316"/>
      <c r="G17" s="425" t="str">
        <f t="shared" si="0"/>
        <v>不要</v>
      </c>
      <c r="J17" s="74"/>
    </row>
    <row r="18" spans="1:10" ht="62.25" customHeight="1" thickBot="1">
      <c r="A18" s="441">
        <v>10</v>
      </c>
      <c r="B18" s="77"/>
      <c r="C18" s="439" t="str">
        <f>+IFERROR(VLOOKUP($B18,'様式４(機能別)'!$A:$K,8,0),"")</f>
        <v/>
      </c>
      <c r="D18" s="105"/>
      <c r="E18" s="1315"/>
      <c r="F18" s="1316"/>
      <c r="G18" s="425" t="str">
        <f t="shared" si="0"/>
        <v>不要</v>
      </c>
      <c r="J18" s="74"/>
    </row>
    <row r="19" spans="1:10" ht="62.25" customHeight="1" thickBot="1">
      <c r="A19" s="441">
        <v>11</v>
      </c>
      <c r="B19" s="77"/>
      <c r="C19" s="439" t="str">
        <f>+IFERROR(VLOOKUP($B19,'様式４(機能別)'!$A:$K,8,0),"")</f>
        <v/>
      </c>
      <c r="D19" s="105"/>
      <c r="E19" s="1315"/>
      <c r="F19" s="1316"/>
      <c r="G19" s="425" t="str">
        <f t="shared" si="0"/>
        <v>不要</v>
      </c>
      <c r="J19" s="74"/>
    </row>
    <row r="20" spans="1:10" ht="62.25" customHeight="1" thickBot="1">
      <c r="A20" s="441">
        <v>12</v>
      </c>
      <c r="B20" s="77"/>
      <c r="C20" s="439" t="str">
        <f>+IFERROR(VLOOKUP($B20,'様式４(機能別)'!$A:$K,8,0),"")</f>
        <v/>
      </c>
      <c r="D20" s="105"/>
      <c r="E20" s="1315"/>
      <c r="F20" s="1316"/>
      <c r="G20" s="425" t="str">
        <f t="shared" si="0"/>
        <v>不要</v>
      </c>
      <c r="J20" s="74"/>
    </row>
    <row r="21" spans="1:10" ht="62.25" customHeight="1" thickBot="1">
      <c r="A21" s="441">
        <v>13</v>
      </c>
      <c r="B21" s="77"/>
      <c r="C21" s="439" t="str">
        <f>+IFERROR(VLOOKUP($B21,'様式４(機能別)'!$A:$K,8,0),"")</f>
        <v/>
      </c>
      <c r="D21" s="105"/>
      <c r="E21" s="1315"/>
      <c r="F21" s="1316"/>
      <c r="G21" s="425" t="str">
        <f t="shared" si="0"/>
        <v>不要</v>
      </c>
      <c r="J21" s="74"/>
    </row>
    <row r="22" spans="1:10" ht="62.25" customHeight="1" thickBot="1">
      <c r="A22" s="441">
        <v>14</v>
      </c>
      <c r="B22" s="77"/>
      <c r="C22" s="439" t="str">
        <f>+IFERROR(VLOOKUP($B22,'様式４(機能別)'!$A:$K,8,0),"")</f>
        <v/>
      </c>
      <c r="D22" s="105"/>
      <c r="E22" s="1315"/>
      <c r="F22" s="1316"/>
      <c r="G22" s="425" t="str">
        <f t="shared" si="0"/>
        <v>不要</v>
      </c>
      <c r="J22" s="74"/>
    </row>
    <row r="23" spans="1:10" ht="62.25" customHeight="1" thickBot="1">
      <c r="A23" s="441">
        <v>15</v>
      </c>
      <c r="B23" s="77"/>
      <c r="C23" s="439" t="str">
        <f>+IFERROR(VLOOKUP($B23,'様式４(機能別)'!$A:$K,8,0),"")</f>
        <v/>
      </c>
      <c r="D23" s="105"/>
      <c r="E23" s="1315"/>
      <c r="F23" s="1316"/>
      <c r="G23" s="425" t="str">
        <f t="shared" si="0"/>
        <v>不要</v>
      </c>
      <c r="J23" s="74"/>
    </row>
    <row r="24" spans="1:10" ht="62.25" customHeight="1" thickBot="1">
      <c r="A24" s="441">
        <v>16</v>
      </c>
      <c r="B24" s="77"/>
      <c r="C24" s="439" t="str">
        <f>+IFERROR(VLOOKUP($B24,'様式４(機能別)'!$A:$K,8,0),"")</f>
        <v/>
      </c>
      <c r="D24" s="105"/>
      <c r="E24" s="1315"/>
      <c r="F24" s="1316"/>
      <c r="G24" s="425" t="str">
        <f t="shared" si="0"/>
        <v>不要</v>
      </c>
      <c r="I24" s="446"/>
      <c r="J24" s="860"/>
    </row>
    <row r="25" spans="1:10" ht="62.25" customHeight="1" thickBot="1">
      <c r="A25" s="441">
        <v>17</v>
      </c>
      <c r="B25" s="77"/>
      <c r="C25" s="439" t="str">
        <f>+IFERROR(VLOOKUP($B25,'様式４(機能別)'!$A:$K,8,0),"")</f>
        <v/>
      </c>
      <c r="D25" s="105"/>
      <c r="E25" s="1315"/>
      <c r="F25" s="1316"/>
      <c r="G25" s="425" t="str">
        <f t="shared" si="0"/>
        <v>不要</v>
      </c>
      <c r="J25" s="860"/>
    </row>
    <row r="26" spans="1:10" ht="62.25" customHeight="1" thickBot="1">
      <c r="A26" s="441">
        <v>18</v>
      </c>
      <c r="B26" s="77"/>
      <c r="C26" s="439" t="str">
        <f>+IFERROR(VLOOKUP($B26,'様式４(機能別)'!$A:$K,8,0),"")</f>
        <v/>
      </c>
      <c r="D26" s="105"/>
      <c r="E26" s="1315"/>
      <c r="F26" s="1316"/>
      <c r="G26" s="425" t="str">
        <f t="shared" si="0"/>
        <v>不要</v>
      </c>
      <c r="J26" s="860"/>
    </row>
    <row r="27" spans="1:10" ht="62.25" customHeight="1" thickBot="1">
      <c r="A27" s="441">
        <v>19</v>
      </c>
      <c r="B27" s="77"/>
      <c r="C27" s="439" t="str">
        <f>+IFERROR(VLOOKUP($B27,'様式４(機能別)'!$A:$K,8,0),"")</f>
        <v/>
      </c>
      <c r="D27" s="105"/>
      <c r="E27" s="1315"/>
      <c r="F27" s="1316"/>
      <c r="G27" s="425" t="str">
        <f t="shared" si="0"/>
        <v>不要</v>
      </c>
      <c r="J27" s="860"/>
    </row>
    <row r="28" spans="1:10" ht="62.25" customHeight="1" thickBot="1">
      <c r="A28" s="441">
        <v>20</v>
      </c>
      <c r="B28" s="77"/>
      <c r="C28" s="439" t="str">
        <f>+IFERROR(VLOOKUP($B28,'様式４(機能別)'!$A:$K,8,0),"")</f>
        <v/>
      </c>
      <c r="D28" s="105"/>
      <c r="E28" s="1315"/>
      <c r="F28" s="1316"/>
      <c r="G28" s="425" t="str">
        <f t="shared" si="0"/>
        <v>不要</v>
      </c>
      <c r="J28" s="860"/>
    </row>
    <row r="29" spans="1:10" ht="62.25" customHeight="1" thickBot="1">
      <c r="A29" s="441">
        <v>21</v>
      </c>
      <c r="B29" s="77"/>
      <c r="C29" s="439" t="str">
        <f>+IFERROR(VLOOKUP($B29,'様式４(機能別)'!$A:$K,8,0),"")</f>
        <v/>
      </c>
      <c r="D29" s="105"/>
      <c r="E29" s="1315"/>
      <c r="F29" s="1316"/>
      <c r="G29" s="425" t="str">
        <f t="shared" si="0"/>
        <v>不要</v>
      </c>
      <c r="J29" s="860"/>
    </row>
    <row r="30" spans="1:10" ht="62.25" customHeight="1" thickBot="1">
      <c r="A30" s="441">
        <v>22</v>
      </c>
      <c r="B30" s="77"/>
      <c r="C30" s="439" t="str">
        <f>+IFERROR(VLOOKUP($B30,'様式４(機能別)'!$A:$K,8,0),"")</f>
        <v/>
      </c>
      <c r="D30" s="105"/>
      <c r="E30" s="1315"/>
      <c r="F30" s="1316"/>
      <c r="J30" s="860"/>
    </row>
    <row r="31" spans="1:10" ht="62.25" customHeight="1" thickBot="1">
      <c r="A31" s="441">
        <v>23</v>
      </c>
      <c r="B31" s="77"/>
      <c r="C31" s="439" t="str">
        <f>+IFERROR(VLOOKUP($B31,'様式４(機能別)'!$A:$K,8,0),"")</f>
        <v/>
      </c>
      <c r="D31" s="105"/>
      <c r="E31" s="1315"/>
      <c r="F31" s="1316"/>
      <c r="J31" s="860"/>
    </row>
    <row r="32" spans="1:10" ht="62.25" customHeight="1" thickBot="1">
      <c r="A32" s="441">
        <v>24</v>
      </c>
      <c r="B32" s="77"/>
      <c r="C32" s="439" t="str">
        <f>+IFERROR(VLOOKUP($B32,'様式４(機能別)'!$A:$K,8,0),"")</f>
        <v/>
      </c>
      <c r="D32" s="105"/>
      <c r="E32" s="1315"/>
      <c r="F32" s="1316"/>
      <c r="J32" s="860"/>
    </row>
    <row r="33" spans="1:10" ht="62.25" customHeight="1" thickBot="1">
      <c r="A33" s="441">
        <v>25</v>
      </c>
      <c r="B33" s="77"/>
      <c r="C33" s="439" t="str">
        <f>+IFERROR(VLOOKUP($B33,'様式４(機能別)'!$A:$K,8,0),"")</f>
        <v/>
      </c>
      <c r="D33" s="105"/>
      <c r="E33" s="1315"/>
      <c r="F33" s="1316"/>
      <c r="J33" s="860"/>
    </row>
    <row r="34" spans="1:10" ht="62.25" customHeight="1" thickBot="1">
      <c r="A34" s="441">
        <v>26</v>
      </c>
      <c r="B34" s="77"/>
      <c r="C34" s="439" t="str">
        <f>+IFERROR(VLOOKUP($B34,'様式４(機能別)'!$A:$K,8,0),"")</f>
        <v/>
      </c>
      <c r="D34" s="105"/>
      <c r="E34" s="1315"/>
      <c r="F34" s="1316"/>
      <c r="J34" s="860"/>
    </row>
    <row r="35" spans="1:10" ht="62.25" customHeight="1" thickBot="1">
      <c r="A35" s="441">
        <v>27</v>
      </c>
      <c r="B35" s="77"/>
      <c r="C35" s="439" t="str">
        <f>+IFERROR(VLOOKUP($B35,'様式４(機能別)'!$A:$K,8,0),"")</f>
        <v/>
      </c>
      <c r="D35" s="105"/>
      <c r="E35" s="1315"/>
      <c r="F35" s="1316"/>
      <c r="J35" s="860"/>
    </row>
    <row r="36" spans="1:10" ht="62.25" customHeight="1" thickBot="1">
      <c r="A36" s="441">
        <v>28</v>
      </c>
      <c r="B36" s="77"/>
      <c r="C36" s="439" t="str">
        <f>+IFERROR(VLOOKUP($B36,'様式４(機能別)'!$A:$K,8,0),"")</f>
        <v/>
      </c>
      <c r="D36" s="105"/>
      <c r="E36" s="1315"/>
      <c r="F36" s="1316"/>
      <c r="J36" s="860"/>
    </row>
    <row r="37" spans="1:10" ht="62.25" customHeight="1" thickBot="1">
      <c r="A37" s="441">
        <v>29</v>
      </c>
      <c r="B37" s="77"/>
      <c r="C37" s="439" t="str">
        <f>+IFERROR(VLOOKUP($B37,'様式４(機能別)'!$A:$K,8,0),"")</f>
        <v/>
      </c>
      <c r="D37" s="105"/>
      <c r="E37" s="1315"/>
      <c r="F37" s="1316"/>
      <c r="J37" s="860"/>
    </row>
    <row r="38" spans="1:10" ht="62.25" customHeight="1" thickBot="1">
      <c r="A38" s="441">
        <v>30</v>
      </c>
      <c r="B38" s="77"/>
      <c r="C38" s="439" t="str">
        <f>+IFERROR(VLOOKUP($B38,'様式４(機能別)'!$A:$K,8,0),"")</f>
        <v/>
      </c>
      <c r="D38" s="105"/>
      <c r="E38" s="1315"/>
      <c r="F38" s="1316"/>
      <c r="J38" s="860"/>
    </row>
    <row r="39" spans="1:10" ht="62.25" customHeight="1" thickBot="1">
      <c r="A39" s="441">
        <v>31</v>
      </c>
      <c r="B39" s="77"/>
      <c r="C39" s="439" t="str">
        <f>+IFERROR(VLOOKUP($B39,'様式４(機能別)'!$A:$K,8,0),"")</f>
        <v/>
      </c>
      <c r="D39" s="105"/>
      <c r="E39" s="1315"/>
      <c r="F39" s="1316"/>
      <c r="J39" s="860"/>
    </row>
    <row r="40" spans="1:10" ht="62.25" customHeight="1" thickBot="1">
      <c r="A40" s="441">
        <v>32</v>
      </c>
      <c r="B40" s="77"/>
      <c r="C40" s="439" t="str">
        <f>+IFERROR(VLOOKUP($B40,'様式４(機能別)'!$A:$K,8,0),"")</f>
        <v/>
      </c>
      <c r="D40" s="105"/>
      <c r="E40" s="1315"/>
      <c r="F40" s="1316"/>
      <c r="J40" s="860"/>
    </row>
    <row r="41" spans="1:10" ht="62.25" customHeight="1" thickBot="1">
      <c r="A41" s="441">
        <v>33</v>
      </c>
      <c r="B41" s="77"/>
      <c r="C41" s="439" t="str">
        <f>+IFERROR(VLOOKUP($B41,'様式４(機能別)'!$A:$K,8,0),"")</f>
        <v/>
      </c>
      <c r="D41" s="105"/>
      <c r="E41" s="1315"/>
      <c r="F41" s="1316"/>
      <c r="J41" s="860"/>
    </row>
    <row r="42" spans="1:10" ht="62.25" customHeight="1" thickBot="1">
      <c r="A42" s="441">
        <v>34</v>
      </c>
      <c r="B42" s="77"/>
      <c r="C42" s="439" t="str">
        <f>+IFERROR(VLOOKUP($B42,'様式４(機能別)'!$A:$K,8,0),"")</f>
        <v/>
      </c>
      <c r="D42" s="105"/>
      <c r="E42" s="1315"/>
      <c r="F42" s="1316"/>
      <c r="J42" s="860"/>
    </row>
    <row r="43" spans="1:10" ht="62.25" customHeight="1" thickBot="1">
      <c r="A43" s="441">
        <v>35</v>
      </c>
      <c r="B43" s="77"/>
      <c r="C43" s="439" t="str">
        <f>+IFERROR(VLOOKUP($B43,'様式４(機能別)'!$A:$K,8,0),"")</f>
        <v/>
      </c>
      <c r="D43" s="105"/>
      <c r="E43" s="1315"/>
      <c r="F43" s="1316"/>
      <c r="J43" s="860"/>
    </row>
    <row r="44" spans="1:10" ht="62.25" customHeight="1" thickBot="1">
      <c r="A44" s="441">
        <v>36</v>
      </c>
      <c r="B44" s="77"/>
      <c r="C44" s="439" t="str">
        <f>+IFERROR(VLOOKUP($B44,'様式４(機能別)'!$A:$K,8,0),"")</f>
        <v/>
      </c>
      <c r="D44" s="105"/>
      <c r="E44" s="1315"/>
      <c r="F44" s="1316"/>
      <c r="J44" s="860"/>
    </row>
    <row r="45" spans="1:10" ht="62.25" customHeight="1" thickBot="1">
      <c r="A45" s="441">
        <v>37</v>
      </c>
      <c r="B45" s="77"/>
      <c r="C45" s="439" t="str">
        <f>+IFERROR(VLOOKUP($B45,'様式４(機能別)'!$A:$K,8,0),"")</f>
        <v/>
      </c>
      <c r="D45" s="105"/>
      <c r="E45" s="1315"/>
      <c r="F45" s="1316"/>
      <c r="J45" s="860"/>
    </row>
    <row r="46" spans="1:10" ht="62.25" customHeight="1" thickBot="1">
      <c r="A46" s="441">
        <v>38</v>
      </c>
      <c r="B46" s="77"/>
      <c r="C46" s="439" t="str">
        <f>+IFERROR(VLOOKUP($B46,'様式４(機能別)'!$A:$K,8,0),"")</f>
        <v/>
      </c>
      <c r="D46" s="105"/>
      <c r="E46" s="1315"/>
      <c r="F46" s="1316"/>
      <c r="J46" s="860"/>
    </row>
    <row r="47" spans="1:10" ht="62.25" customHeight="1" thickBot="1">
      <c r="A47" s="441">
        <v>39</v>
      </c>
      <c r="B47" s="77"/>
      <c r="C47" s="439" t="str">
        <f>+IFERROR(VLOOKUP($B47,'様式４(機能別)'!$A:$K,8,0),"")</f>
        <v/>
      </c>
      <c r="D47" s="105"/>
      <c r="E47" s="1315"/>
      <c r="F47" s="1316"/>
      <c r="J47" s="860"/>
    </row>
    <row r="48" spans="1:10" ht="62.25" customHeight="1" thickBot="1">
      <c r="A48" s="441">
        <v>40</v>
      </c>
      <c r="B48" s="77"/>
      <c r="C48" s="439" t="str">
        <f>+IFERROR(VLOOKUP($B48,'様式４(機能別)'!$A:$K,8,0),"")</f>
        <v/>
      </c>
      <c r="D48" s="105"/>
      <c r="E48" s="1315"/>
      <c r="F48" s="1316"/>
      <c r="J48" s="860"/>
    </row>
    <row r="49" spans="2:2">
      <c r="B49" s="447"/>
    </row>
    <row r="50" spans="2:2">
      <c r="B50" s="447"/>
    </row>
    <row r="51" spans="2:2">
      <c r="B51" s="447"/>
    </row>
    <row r="52" spans="2:2">
      <c r="B52" s="447"/>
    </row>
    <row r="53" spans="2:2">
      <c r="B53" s="447"/>
    </row>
    <row r="54" spans="2:2">
      <c r="B54" s="447"/>
    </row>
    <row r="55" spans="2:2">
      <c r="B55" s="447"/>
    </row>
    <row r="56" spans="2:2">
      <c r="B56" s="447"/>
    </row>
    <row r="57" spans="2:2">
      <c r="B57" s="447"/>
    </row>
    <row r="58" spans="2:2">
      <c r="B58" s="447"/>
    </row>
    <row r="59" spans="2:2">
      <c r="B59" s="447"/>
    </row>
    <row r="60" spans="2:2">
      <c r="B60" s="447"/>
    </row>
    <row r="61" spans="2:2">
      <c r="B61" s="447"/>
    </row>
    <row r="62" spans="2:2">
      <c r="B62" s="447"/>
    </row>
    <row r="63" spans="2:2">
      <c r="B63" s="447"/>
    </row>
    <row r="64" spans="2:2">
      <c r="B64" s="447"/>
    </row>
    <row r="65" spans="2:2">
      <c r="B65" s="447"/>
    </row>
    <row r="66" spans="2:2">
      <c r="B66" s="447"/>
    </row>
    <row r="67" spans="2:2">
      <c r="B67" s="447"/>
    </row>
    <row r="68" spans="2:2">
      <c r="B68" s="447"/>
    </row>
    <row r="69" spans="2:2">
      <c r="B69" s="447"/>
    </row>
    <row r="70" spans="2:2">
      <c r="B70" s="447"/>
    </row>
    <row r="71" spans="2:2">
      <c r="B71" s="447"/>
    </row>
    <row r="72" spans="2:2">
      <c r="B72" s="447"/>
    </row>
    <row r="73" spans="2:2">
      <c r="B73" s="447"/>
    </row>
    <row r="74" spans="2:2">
      <c r="B74" s="447"/>
    </row>
    <row r="75" spans="2:2">
      <c r="B75" s="447"/>
    </row>
    <row r="76" spans="2:2">
      <c r="B76" s="447"/>
    </row>
    <row r="77" spans="2:2">
      <c r="B77" s="447"/>
    </row>
    <row r="78" spans="2:2">
      <c r="B78" s="447"/>
    </row>
    <row r="79" spans="2:2">
      <c r="B79" s="447"/>
    </row>
    <row r="80" spans="2:2">
      <c r="B80" s="447"/>
    </row>
    <row r="81" spans="2:2">
      <c r="B81" s="447"/>
    </row>
    <row r="82" spans="2:2">
      <c r="B82" s="447"/>
    </row>
    <row r="83" spans="2:2">
      <c r="B83" s="447"/>
    </row>
    <row r="84" spans="2:2">
      <c r="B84" s="447"/>
    </row>
    <row r="85" spans="2:2">
      <c r="B85" s="447"/>
    </row>
    <row r="86" spans="2:2">
      <c r="B86" s="447"/>
    </row>
    <row r="87" spans="2:2">
      <c r="B87" s="447"/>
    </row>
    <row r="88" spans="2:2">
      <c r="B88" s="447"/>
    </row>
    <row r="89" spans="2:2">
      <c r="B89" s="447"/>
    </row>
    <row r="90" spans="2:2">
      <c r="B90" s="447"/>
    </row>
    <row r="91" spans="2:2">
      <c r="B91" s="447"/>
    </row>
    <row r="92" spans="2:2">
      <c r="B92" s="447"/>
    </row>
    <row r="93" spans="2:2">
      <c r="B93" s="447"/>
    </row>
    <row r="94" spans="2:2">
      <c r="B94" s="447"/>
    </row>
    <row r="95" spans="2:2">
      <c r="B95" s="447"/>
    </row>
    <row r="96" spans="2:2">
      <c r="B96" s="447"/>
    </row>
    <row r="97" spans="2:2">
      <c r="B97" s="447"/>
    </row>
    <row r="98" spans="2:2">
      <c r="B98" s="447"/>
    </row>
    <row r="99" spans="2:2">
      <c r="B99" s="333"/>
    </row>
    <row r="100" spans="2:2">
      <c r="B100" s="333"/>
    </row>
    <row r="101" spans="2:2">
      <c r="B101" s="333"/>
    </row>
    <row r="102" spans="2:2">
      <c r="B102" s="333"/>
    </row>
    <row r="103" spans="2:2">
      <c r="B103" s="333"/>
    </row>
    <row r="104" spans="2:2">
      <c r="B104" s="333"/>
    </row>
    <row r="105" spans="2:2">
      <c r="B105" s="333"/>
    </row>
    <row r="106" spans="2:2">
      <c r="B106" s="333"/>
    </row>
    <row r="107" spans="2:2">
      <c r="B107" s="333"/>
    </row>
    <row r="108" spans="2:2">
      <c r="B108" s="333"/>
    </row>
    <row r="109" spans="2:2">
      <c r="B109" s="333"/>
    </row>
    <row r="110" spans="2:2">
      <c r="B110" s="333"/>
    </row>
    <row r="111" spans="2:2">
      <c r="B111" s="333"/>
    </row>
    <row r="112" spans="2:2">
      <c r="B112" s="333"/>
    </row>
    <row r="113" spans="2:2">
      <c r="B113" s="333"/>
    </row>
    <row r="114" spans="2:2">
      <c r="B114" s="333"/>
    </row>
    <row r="115" spans="2:2">
      <c r="B115" s="333"/>
    </row>
    <row r="116" spans="2:2">
      <c r="B116" s="333"/>
    </row>
    <row r="117" spans="2:2">
      <c r="B117" s="333"/>
    </row>
    <row r="118" spans="2:2">
      <c r="B118" s="333"/>
    </row>
    <row r="119" spans="2:2">
      <c r="B119" s="333"/>
    </row>
    <row r="120" spans="2:2">
      <c r="B120" s="333"/>
    </row>
    <row r="121" spans="2:2">
      <c r="B121" s="333"/>
    </row>
    <row r="122" spans="2:2">
      <c r="B122" s="333"/>
    </row>
    <row r="123" spans="2:2">
      <c r="B123" s="333"/>
    </row>
    <row r="124" spans="2:2">
      <c r="B124" s="333"/>
    </row>
    <row r="125" spans="2:2">
      <c r="B125" s="333"/>
    </row>
    <row r="126" spans="2:2">
      <c r="B126" s="333"/>
    </row>
    <row r="127" spans="2:2">
      <c r="B127" s="333"/>
    </row>
    <row r="128" spans="2:2">
      <c r="B128" s="333"/>
    </row>
    <row r="129" spans="2:2">
      <c r="B129" s="333"/>
    </row>
    <row r="130" spans="2:2">
      <c r="B130" s="333"/>
    </row>
    <row r="131" spans="2:2">
      <c r="B131" s="333"/>
    </row>
    <row r="132" spans="2:2">
      <c r="B132" s="333"/>
    </row>
    <row r="133" spans="2:2">
      <c r="B133" s="333"/>
    </row>
    <row r="134" spans="2:2">
      <c r="B134" s="333"/>
    </row>
    <row r="135" spans="2:2">
      <c r="B135" s="333"/>
    </row>
    <row r="136" spans="2:2">
      <c r="B136" s="333"/>
    </row>
    <row r="137" spans="2:2">
      <c r="B137" s="333"/>
    </row>
    <row r="138" spans="2:2">
      <c r="B138" s="333"/>
    </row>
    <row r="139" spans="2:2">
      <c r="B139" s="333"/>
    </row>
    <row r="140" spans="2:2">
      <c r="B140" s="333"/>
    </row>
    <row r="141" spans="2:2">
      <c r="B141" s="333"/>
    </row>
    <row r="142" spans="2:2">
      <c r="B142" s="333"/>
    </row>
    <row r="143" spans="2:2">
      <c r="B143" s="333"/>
    </row>
    <row r="144" spans="2:2">
      <c r="B144" s="333"/>
    </row>
    <row r="145" spans="2:2">
      <c r="B145" s="333"/>
    </row>
    <row r="146" spans="2:2">
      <c r="B146" s="333"/>
    </row>
    <row r="147" spans="2:2">
      <c r="B147" s="333"/>
    </row>
    <row r="148" spans="2:2">
      <c r="B148" s="333"/>
    </row>
    <row r="149" spans="2:2">
      <c r="B149" s="333"/>
    </row>
    <row r="150" spans="2:2">
      <c r="B150" s="333"/>
    </row>
    <row r="151" spans="2:2">
      <c r="B151" s="333"/>
    </row>
    <row r="152" spans="2:2">
      <c r="B152" s="333"/>
    </row>
    <row r="153" spans="2:2">
      <c r="B153" s="333"/>
    </row>
    <row r="154" spans="2:2">
      <c r="B154" s="333"/>
    </row>
    <row r="155" spans="2:2">
      <c r="B155" s="333"/>
    </row>
    <row r="156" spans="2:2">
      <c r="B156" s="333"/>
    </row>
    <row r="157" spans="2:2">
      <c r="B157" s="333"/>
    </row>
    <row r="158" spans="2:2">
      <c r="B158" s="333"/>
    </row>
    <row r="159" spans="2:2">
      <c r="B159" s="333"/>
    </row>
    <row r="160" spans="2:2">
      <c r="B160" s="333"/>
    </row>
    <row r="161" spans="2:2">
      <c r="B161" s="333"/>
    </row>
    <row r="162" spans="2:2">
      <c r="B162" s="333"/>
    </row>
    <row r="163" spans="2:2">
      <c r="B163" s="333"/>
    </row>
    <row r="164" spans="2:2">
      <c r="B164" s="333"/>
    </row>
    <row r="165" spans="2:2">
      <c r="B165" s="333"/>
    </row>
    <row r="166" spans="2:2">
      <c r="B166" s="333"/>
    </row>
    <row r="167" spans="2:2">
      <c r="B167" s="333"/>
    </row>
    <row r="168" spans="2:2">
      <c r="B168" s="333"/>
    </row>
    <row r="169" spans="2:2">
      <c r="B169" s="333"/>
    </row>
    <row r="170" spans="2:2">
      <c r="B170" s="333"/>
    </row>
    <row r="171" spans="2:2">
      <c r="B171" s="333"/>
    </row>
    <row r="172" spans="2:2">
      <c r="B172" s="333"/>
    </row>
    <row r="173" spans="2:2">
      <c r="B173" s="333"/>
    </row>
    <row r="174" spans="2:2">
      <c r="B174" s="333"/>
    </row>
    <row r="175" spans="2:2">
      <c r="B175" s="333"/>
    </row>
    <row r="176" spans="2:2">
      <c r="B176" s="333"/>
    </row>
    <row r="177" spans="2:2">
      <c r="B177" s="333"/>
    </row>
    <row r="178" spans="2:2">
      <c r="B178" s="333"/>
    </row>
    <row r="179" spans="2:2">
      <c r="B179" s="333"/>
    </row>
    <row r="180" spans="2:2">
      <c r="B180" s="333"/>
    </row>
    <row r="181" spans="2:2">
      <c r="B181" s="333"/>
    </row>
    <row r="182" spans="2:2">
      <c r="B182" s="333"/>
    </row>
    <row r="183" spans="2:2">
      <c r="B183" s="333"/>
    </row>
    <row r="184" spans="2:2">
      <c r="B184" s="333"/>
    </row>
    <row r="185" spans="2:2">
      <c r="B185" s="333"/>
    </row>
    <row r="186" spans="2:2">
      <c r="B186" s="333"/>
    </row>
    <row r="187" spans="2:2">
      <c r="B187" s="333"/>
    </row>
    <row r="188" spans="2:2">
      <c r="B188" s="333"/>
    </row>
    <row r="189" spans="2:2">
      <c r="B189" s="333"/>
    </row>
    <row r="190" spans="2:2">
      <c r="B190" s="333"/>
    </row>
    <row r="191" spans="2:2">
      <c r="B191" s="333"/>
    </row>
    <row r="192" spans="2:2">
      <c r="B192" s="333"/>
    </row>
    <row r="193" spans="2:2">
      <c r="B193" s="333"/>
    </row>
    <row r="194" spans="2:2">
      <c r="B194" s="333"/>
    </row>
    <row r="195" spans="2:2">
      <c r="B195" s="333"/>
    </row>
    <row r="196" spans="2:2">
      <c r="B196" s="333"/>
    </row>
    <row r="197" spans="2:2">
      <c r="B197" s="333"/>
    </row>
    <row r="198" spans="2:2">
      <c r="B198" s="333"/>
    </row>
    <row r="199" spans="2:2">
      <c r="B199" s="333"/>
    </row>
    <row r="200" spans="2:2">
      <c r="B200" s="333"/>
    </row>
    <row r="201" spans="2:2">
      <c r="B201" s="333"/>
    </row>
    <row r="202" spans="2:2">
      <c r="B202" s="333"/>
    </row>
    <row r="203" spans="2:2">
      <c r="B203" s="333"/>
    </row>
    <row r="204" spans="2:2">
      <c r="B204" s="333"/>
    </row>
    <row r="205" spans="2:2">
      <c r="B205" s="333"/>
    </row>
    <row r="206" spans="2:2">
      <c r="B206" s="333"/>
    </row>
    <row r="207" spans="2:2">
      <c r="B207" s="333"/>
    </row>
    <row r="208" spans="2:2">
      <c r="B208" s="333"/>
    </row>
    <row r="209" spans="2:2">
      <c r="B209" s="333"/>
    </row>
    <row r="210" spans="2:2">
      <c r="B210" s="333"/>
    </row>
    <row r="211" spans="2:2">
      <c r="B211" s="333"/>
    </row>
    <row r="212" spans="2:2">
      <c r="B212" s="333"/>
    </row>
    <row r="213" spans="2:2">
      <c r="B213" s="333"/>
    </row>
    <row r="214" spans="2:2">
      <c r="B214" s="333"/>
    </row>
    <row r="215" spans="2:2">
      <c r="B215" s="333"/>
    </row>
    <row r="216" spans="2:2">
      <c r="B216" s="333"/>
    </row>
    <row r="217" spans="2:2">
      <c r="B217" s="333"/>
    </row>
    <row r="218" spans="2:2">
      <c r="B218" s="333"/>
    </row>
    <row r="219" spans="2:2">
      <c r="B219" s="333"/>
    </row>
    <row r="220" spans="2:2">
      <c r="B220" s="333"/>
    </row>
    <row r="221" spans="2:2">
      <c r="B221" s="333"/>
    </row>
    <row r="222" spans="2:2">
      <c r="B222" s="333"/>
    </row>
    <row r="223" spans="2:2">
      <c r="B223" s="333"/>
    </row>
    <row r="224" spans="2:2">
      <c r="B224" s="333"/>
    </row>
    <row r="225" spans="2:2">
      <c r="B225" s="333"/>
    </row>
    <row r="226" spans="2:2">
      <c r="B226" s="333"/>
    </row>
    <row r="227" spans="2:2">
      <c r="B227" s="333"/>
    </row>
    <row r="228" spans="2:2">
      <c r="B228" s="333"/>
    </row>
    <row r="229" spans="2:2">
      <c r="B229" s="333"/>
    </row>
    <row r="230" spans="2:2">
      <c r="B230" s="333"/>
    </row>
    <row r="231" spans="2:2">
      <c r="B231" s="333"/>
    </row>
    <row r="232" spans="2:2">
      <c r="B232" s="333"/>
    </row>
    <row r="233" spans="2:2">
      <c r="B233" s="333"/>
    </row>
    <row r="234" spans="2:2">
      <c r="B234" s="333"/>
    </row>
    <row r="235" spans="2:2">
      <c r="B235" s="333"/>
    </row>
    <row r="236" spans="2:2">
      <c r="B236" s="333"/>
    </row>
    <row r="237" spans="2:2">
      <c r="B237" s="333"/>
    </row>
    <row r="238" spans="2:2">
      <c r="B238" s="333"/>
    </row>
    <row r="239" spans="2:2">
      <c r="B239" s="333"/>
    </row>
    <row r="240" spans="2:2">
      <c r="B240" s="333"/>
    </row>
    <row r="241" spans="2:2">
      <c r="B241" s="333"/>
    </row>
    <row r="242" spans="2:2">
      <c r="B242" s="333"/>
    </row>
    <row r="243" spans="2:2">
      <c r="B243" s="333"/>
    </row>
    <row r="244" spans="2:2">
      <c r="B244" s="333"/>
    </row>
    <row r="245" spans="2:2">
      <c r="B245" s="333"/>
    </row>
    <row r="246" spans="2:2">
      <c r="B246" s="333"/>
    </row>
    <row r="247" spans="2:2">
      <c r="B247" s="333"/>
    </row>
    <row r="248" spans="2:2">
      <c r="B248" s="333"/>
    </row>
    <row r="249" spans="2:2">
      <c r="B249" s="333"/>
    </row>
    <row r="250" spans="2:2">
      <c r="B250" s="333"/>
    </row>
    <row r="251" spans="2:2">
      <c r="B251" s="333"/>
    </row>
    <row r="252" spans="2:2">
      <c r="B252" s="333"/>
    </row>
    <row r="253" spans="2:2">
      <c r="B253" s="333"/>
    </row>
    <row r="254" spans="2:2">
      <c r="B254" s="333"/>
    </row>
    <row r="255" spans="2:2">
      <c r="B255" s="333"/>
    </row>
    <row r="256" spans="2:2">
      <c r="B256" s="333"/>
    </row>
    <row r="257" spans="2:2">
      <c r="B257" s="333"/>
    </row>
    <row r="258" spans="2:2">
      <c r="B258" s="333"/>
    </row>
    <row r="259" spans="2:2">
      <c r="B259" s="333"/>
    </row>
    <row r="260" spans="2:2">
      <c r="B260" s="333"/>
    </row>
    <row r="261" spans="2:2">
      <c r="B261" s="333"/>
    </row>
    <row r="262" spans="2:2">
      <c r="B262" s="333"/>
    </row>
    <row r="263" spans="2:2">
      <c r="B263" s="333"/>
    </row>
    <row r="264" spans="2:2">
      <c r="B264" s="333"/>
    </row>
    <row r="265" spans="2:2">
      <c r="B265" s="333"/>
    </row>
    <row r="266" spans="2:2">
      <c r="B266" s="333"/>
    </row>
    <row r="267" spans="2:2">
      <c r="B267" s="333"/>
    </row>
    <row r="268" spans="2:2">
      <c r="B268" s="333"/>
    </row>
    <row r="269" spans="2:2">
      <c r="B269" s="333"/>
    </row>
    <row r="270" spans="2:2">
      <c r="B270" s="333"/>
    </row>
    <row r="271" spans="2:2">
      <c r="B271" s="333"/>
    </row>
    <row r="272" spans="2:2">
      <c r="B272" s="333"/>
    </row>
    <row r="273" spans="2:2">
      <c r="B273" s="333"/>
    </row>
    <row r="274" spans="2:2">
      <c r="B274" s="333"/>
    </row>
    <row r="275" spans="2:2">
      <c r="B275" s="333"/>
    </row>
    <row r="276" spans="2:2">
      <c r="B276" s="333"/>
    </row>
    <row r="277" spans="2:2">
      <c r="B277" s="333"/>
    </row>
    <row r="278" spans="2:2">
      <c r="B278" s="333"/>
    </row>
    <row r="279" spans="2:2">
      <c r="B279" s="333"/>
    </row>
    <row r="280" spans="2:2">
      <c r="B280" s="333"/>
    </row>
    <row r="281" spans="2:2">
      <c r="B281" s="333"/>
    </row>
    <row r="282" spans="2:2">
      <c r="B282" s="333"/>
    </row>
    <row r="283" spans="2:2">
      <c r="B283" s="333"/>
    </row>
    <row r="284" spans="2:2">
      <c r="B284" s="333"/>
    </row>
    <row r="285" spans="2:2">
      <c r="B285" s="333"/>
    </row>
    <row r="286" spans="2:2">
      <c r="B286" s="333"/>
    </row>
    <row r="287" spans="2:2">
      <c r="B287" s="333"/>
    </row>
    <row r="288" spans="2:2">
      <c r="B288" s="333"/>
    </row>
    <row r="289" spans="2:2">
      <c r="B289" s="333"/>
    </row>
    <row r="290" spans="2:2">
      <c r="B290" s="333"/>
    </row>
    <row r="291" spans="2:2">
      <c r="B291" s="333"/>
    </row>
    <row r="292" spans="2:2">
      <c r="B292" s="333"/>
    </row>
    <row r="293" spans="2:2">
      <c r="B293" s="333"/>
    </row>
    <row r="294" spans="2:2">
      <c r="B294" s="333"/>
    </row>
    <row r="295" spans="2:2">
      <c r="B295" s="333"/>
    </row>
    <row r="296" spans="2:2">
      <c r="B296" s="333"/>
    </row>
    <row r="297" spans="2:2">
      <c r="B297" s="333"/>
    </row>
    <row r="298" spans="2:2">
      <c r="B298" s="333"/>
    </row>
    <row r="299" spans="2:2">
      <c r="B299" s="333"/>
    </row>
    <row r="300" spans="2:2">
      <c r="B300" s="333"/>
    </row>
    <row r="301" spans="2:2">
      <c r="B301" s="333"/>
    </row>
    <row r="302" spans="2:2">
      <c r="B302" s="333"/>
    </row>
    <row r="303" spans="2:2">
      <c r="B303" s="333"/>
    </row>
    <row r="304" spans="2:2">
      <c r="B304" s="333"/>
    </row>
    <row r="305" spans="2:2">
      <c r="B305" s="333"/>
    </row>
    <row r="306" spans="2:2">
      <c r="B306" s="333"/>
    </row>
    <row r="307" spans="2:2">
      <c r="B307" s="333"/>
    </row>
    <row r="308" spans="2:2">
      <c r="B308" s="333"/>
    </row>
    <row r="309" spans="2:2">
      <c r="B309" s="333"/>
    </row>
    <row r="310" spans="2:2">
      <c r="B310" s="333"/>
    </row>
    <row r="311" spans="2:2">
      <c r="B311" s="333"/>
    </row>
    <row r="312" spans="2:2">
      <c r="B312" s="333"/>
    </row>
    <row r="313" spans="2:2">
      <c r="B313" s="333"/>
    </row>
    <row r="314" spans="2:2">
      <c r="B314" s="333"/>
    </row>
    <row r="315" spans="2:2">
      <c r="B315" s="333"/>
    </row>
    <row r="316" spans="2:2">
      <c r="B316" s="333"/>
    </row>
    <row r="317" spans="2:2">
      <c r="B317" s="333"/>
    </row>
    <row r="318" spans="2:2">
      <c r="B318" s="333"/>
    </row>
    <row r="319" spans="2:2">
      <c r="B319" s="333"/>
    </row>
    <row r="320" spans="2:2">
      <c r="B320" s="333"/>
    </row>
    <row r="321" spans="2:2">
      <c r="B321" s="333"/>
    </row>
    <row r="322" spans="2:2">
      <c r="B322" s="333"/>
    </row>
    <row r="323" spans="2:2">
      <c r="B323" s="333"/>
    </row>
    <row r="324" spans="2:2">
      <c r="B324" s="333"/>
    </row>
    <row r="325" spans="2:2">
      <c r="B325" s="333"/>
    </row>
    <row r="326" spans="2:2">
      <c r="B326" s="333"/>
    </row>
    <row r="327" spans="2:2">
      <c r="B327" s="333"/>
    </row>
    <row r="328" spans="2:2">
      <c r="B328" s="333"/>
    </row>
    <row r="329" spans="2:2">
      <c r="B329" s="333"/>
    </row>
    <row r="330" spans="2:2">
      <c r="B330" s="333"/>
    </row>
    <row r="331" spans="2:2">
      <c r="B331" s="333"/>
    </row>
    <row r="332" spans="2:2">
      <c r="B332" s="333"/>
    </row>
  </sheetData>
  <sheetProtection selectLockedCells="1" autoFilter="0"/>
  <mergeCells count="48">
    <mergeCell ref="E45:F45"/>
    <mergeCell ref="E46:F46"/>
    <mergeCell ref="E47:F47"/>
    <mergeCell ref="E48:F48"/>
    <mergeCell ref="E40:F40"/>
    <mergeCell ref="E41:F41"/>
    <mergeCell ref="E42:F42"/>
    <mergeCell ref="E43:F43"/>
    <mergeCell ref="E44:F44"/>
    <mergeCell ref="E35:F35"/>
    <mergeCell ref="E36:F36"/>
    <mergeCell ref="E37:F37"/>
    <mergeCell ref="E38:F38"/>
    <mergeCell ref="E39:F39"/>
    <mergeCell ref="E30:F30"/>
    <mergeCell ref="E31:F31"/>
    <mergeCell ref="E32:F32"/>
    <mergeCell ref="E33:F33"/>
    <mergeCell ref="E34:F34"/>
    <mergeCell ref="A1:F1"/>
    <mergeCell ref="A2:E2"/>
    <mergeCell ref="E4:F4"/>
    <mergeCell ref="A6:F6"/>
    <mergeCell ref="E7:F7"/>
    <mergeCell ref="H2:H4"/>
    <mergeCell ref="E8:F8"/>
    <mergeCell ref="E15:F15"/>
    <mergeCell ref="E14:F14"/>
    <mergeCell ref="E9:F9"/>
    <mergeCell ref="E13:F13"/>
    <mergeCell ref="E10:F10"/>
    <mergeCell ref="E11:F11"/>
    <mergeCell ref="E12:F12"/>
    <mergeCell ref="G2:G4"/>
    <mergeCell ref="E16:F16"/>
    <mergeCell ref="E17:F17"/>
    <mergeCell ref="E23:F23"/>
    <mergeCell ref="E18:F18"/>
    <mergeCell ref="E19:F19"/>
    <mergeCell ref="E20:F20"/>
    <mergeCell ref="E21:F21"/>
    <mergeCell ref="E22:F22"/>
    <mergeCell ref="E29:F29"/>
    <mergeCell ref="E24:F24"/>
    <mergeCell ref="E25:F25"/>
    <mergeCell ref="E26:F26"/>
    <mergeCell ref="E27:F27"/>
    <mergeCell ref="E28:F28"/>
  </mergeCells>
  <phoneticPr fontId="9"/>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topLeftCell="C1" zoomScale="85" zoomScaleNormal="85" zoomScaleSheetLayoutView="85" workbookViewId="0">
      <selection activeCell="F28" sqref="F28"/>
    </sheetView>
  </sheetViews>
  <sheetFormatPr defaultColWidth="9" defaultRowHeight="13.5"/>
  <cols>
    <col min="1" max="1" width="39.25" style="449" customWidth="1"/>
    <col min="2" max="2" width="11.375" style="449" customWidth="1"/>
    <col min="3" max="3" width="12.125" style="449" customWidth="1"/>
    <col min="4" max="4" width="13" style="449" customWidth="1"/>
    <col min="5" max="6" width="12" style="449" customWidth="1"/>
    <col min="7" max="8" width="13.25" style="449" customWidth="1"/>
    <col min="9" max="9" width="13.875" style="449" customWidth="1"/>
    <col min="10" max="10" width="18.875" style="449" customWidth="1"/>
    <col min="11" max="11" width="23.875" style="449" customWidth="1"/>
    <col min="12" max="12" width="2.625" style="449" customWidth="1"/>
    <col min="13" max="14" width="9" style="449" hidden="1" customWidth="1"/>
    <col min="15" max="15" width="3.625" style="456" customWidth="1"/>
    <col min="16" max="16" width="82.75" style="457" bestFit="1" customWidth="1"/>
    <col min="17" max="24" width="9" style="457"/>
    <col min="25" max="16384" width="9" style="449"/>
  </cols>
  <sheetData>
    <row r="1" spans="1:24" customFormat="1" ht="20.100000000000001" customHeight="1" thickBot="1">
      <c r="A1" s="1342" t="s">
        <v>200</v>
      </c>
      <c r="B1" s="1342"/>
      <c r="C1" s="1342"/>
      <c r="D1" s="1342"/>
      <c r="E1" s="1342"/>
      <c r="F1" s="1342"/>
      <c r="G1" s="1342"/>
      <c r="H1" s="1342"/>
      <c r="I1" s="1342"/>
      <c r="J1" s="1342"/>
      <c r="K1" s="1342"/>
      <c r="N1" s="53"/>
      <c r="O1" s="83"/>
      <c r="P1" s="85"/>
      <c r="Q1" s="332"/>
      <c r="R1" s="332"/>
      <c r="S1" s="332"/>
      <c r="T1" s="332"/>
      <c r="U1" s="332"/>
      <c r="V1" s="332"/>
      <c r="W1" s="332"/>
      <c r="X1" s="332"/>
    </row>
    <row r="2" spans="1:24" customFormat="1" ht="24.95" customHeight="1" thickTop="1" thickBot="1">
      <c r="A2" s="448"/>
      <c r="B2" s="1324" t="s">
        <v>762</v>
      </c>
      <c r="C2" s="1324"/>
      <c r="D2" s="1324"/>
      <c r="E2" s="1324"/>
      <c r="F2" s="1324"/>
      <c r="G2" s="1324"/>
      <c r="H2" s="1324"/>
      <c r="I2" s="1324"/>
      <c r="J2" s="1343"/>
      <c r="K2" s="427" t="str">
        <f>IF(COUNTIF(M15:N80,"×")=0,"入力済","未入力あり")</f>
        <v>入力済</v>
      </c>
      <c r="L2" s="449"/>
      <c r="M2" s="449"/>
      <c r="N2" s="53"/>
      <c r="O2" s="83"/>
      <c r="P2" s="85"/>
      <c r="Q2" s="332"/>
      <c r="R2" s="332"/>
      <c r="S2" s="332"/>
      <c r="T2" s="332"/>
      <c r="U2" s="332"/>
      <c r="V2" s="332"/>
      <c r="W2" s="332"/>
      <c r="X2" s="332"/>
    </row>
    <row r="3" spans="1:24" customFormat="1" ht="5.0999999999999996" customHeight="1" thickTop="1">
      <c r="A3" s="450"/>
      <c r="B3" s="450"/>
      <c r="C3" s="450"/>
      <c r="D3" s="450"/>
      <c r="E3" s="450"/>
      <c r="F3" s="450"/>
      <c r="G3" s="450"/>
      <c r="H3" s="450"/>
      <c r="I3" s="450"/>
      <c r="J3" s="450"/>
      <c r="K3" s="450"/>
      <c r="L3" s="449"/>
      <c r="M3" s="449"/>
      <c r="N3" s="451"/>
      <c r="O3" s="452"/>
      <c r="P3" s="332"/>
      <c r="Q3" s="332"/>
      <c r="R3" s="332"/>
      <c r="S3" s="332"/>
      <c r="T3" s="332"/>
      <c r="U3" s="332"/>
      <c r="V3" s="332"/>
      <c r="W3" s="332"/>
      <c r="X3" s="332"/>
    </row>
    <row r="4" spans="1:24" customFormat="1" ht="20.100000000000001" customHeight="1">
      <c r="A4" s="450"/>
      <c r="B4" s="450"/>
      <c r="C4" s="450"/>
      <c r="D4" s="450"/>
      <c r="E4" s="450"/>
      <c r="F4" s="453" t="s">
        <v>763</v>
      </c>
      <c r="G4" s="1344" t="str">
        <f>表紙!E2</f>
        <v>パナソニック健康保険組合　松下記念病院</v>
      </c>
      <c r="H4" s="1345"/>
      <c r="I4" s="1345"/>
      <c r="J4" s="1345"/>
      <c r="K4" s="1346"/>
      <c r="L4" s="449"/>
      <c r="M4" s="449"/>
      <c r="N4" s="53"/>
      <c r="O4" s="83"/>
      <c r="P4" s="332"/>
      <c r="Q4" s="332"/>
      <c r="R4" s="332"/>
      <c r="S4" s="332"/>
      <c r="T4" s="332"/>
      <c r="U4" s="332"/>
      <c r="V4" s="332"/>
      <c r="W4" s="332"/>
      <c r="X4" s="332"/>
    </row>
    <row r="5" spans="1:24" customFormat="1" ht="19.5" customHeight="1">
      <c r="A5" s="450"/>
      <c r="B5" s="453"/>
      <c r="C5" s="453"/>
      <c r="D5" s="453"/>
      <c r="E5" s="453"/>
      <c r="F5" s="453" t="s">
        <v>925</v>
      </c>
      <c r="G5" s="454" t="s">
        <v>1726</v>
      </c>
      <c r="J5" s="454"/>
      <c r="K5" s="454"/>
      <c r="L5" s="449"/>
      <c r="M5" s="449"/>
      <c r="N5" s="202"/>
      <c r="O5" s="455"/>
      <c r="P5" s="861" t="s">
        <v>234</v>
      </c>
      <c r="Q5" s="862"/>
      <c r="R5" s="332"/>
      <c r="S5" s="332"/>
      <c r="T5" s="332"/>
      <c r="U5" s="332"/>
      <c r="V5" s="332"/>
      <c r="W5" s="332"/>
      <c r="X5" s="332"/>
    </row>
    <row r="6" spans="1:24" ht="162.75" customHeight="1">
      <c r="A6" s="1347" t="s">
        <v>1783</v>
      </c>
      <c r="B6" s="1347"/>
      <c r="C6" s="1347"/>
      <c r="D6" s="1347"/>
      <c r="E6" s="1347"/>
      <c r="F6" s="1347"/>
      <c r="G6" s="1347"/>
      <c r="H6" s="1347"/>
      <c r="I6" s="1347"/>
      <c r="J6" s="1347"/>
      <c r="K6" s="1347"/>
      <c r="P6" s="158"/>
      <c r="Q6" s="863"/>
    </row>
    <row r="7" spans="1:24" ht="18" customHeight="1">
      <c r="B7" s="458" t="s">
        <v>764</v>
      </c>
      <c r="C7" s="449" t="s">
        <v>765</v>
      </c>
      <c r="F7" s="459"/>
      <c r="G7" s="459"/>
      <c r="P7" s="158"/>
      <c r="Q7" s="863"/>
    </row>
    <row r="8" spans="1:24" ht="18" customHeight="1">
      <c r="C8" s="449" t="s">
        <v>766</v>
      </c>
      <c r="F8" s="459"/>
      <c r="G8" s="459"/>
      <c r="P8" s="158"/>
      <c r="Q8" s="863"/>
    </row>
    <row r="9" spans="1:24" ht="18" customHeight="1">
      <c r="C9" s="449" t="s">
        <v>767</v>
      </c>
      <c r="F9" s="459"/>
      <c r="G9" s="459"/>
      <c r="H9" s="459"/>
      <c r="P9" s="158"/>
      <c r="Q9" s="863"/>
    </row>
    <row r="10" spans="1:24" ht="18" customHeight="1">
      <c r="B10" s="458" t="s">
        <v>768</v>
      </c>
      <c r="C10" s="456" t="s">
        <v>769</v>
      </c>
      <c r="D10" s="456"/>
      <c r="E10" s="456"/>
      <c r="F10" s="456"/>
      <c r="P10" s="158"/>
      <c r="Q10" s="863"/>
    </row>
    <row r="11" spans="1:24">
      <c r="B11" s="1348" t="s">
        <v>770</v>
      </c>
      <c r="C11" s="1349"/>
      <c r="D11" s="1349"/>
      <c r="E11" s="1349"/>
      <c r="F11" s="1349"/>
      <c r="G11" s="1350"/>
      <c r="H11" s="1351" t="s">
        <v>1753</v>
      </c>
      <c r="I11" s="1351"/>
      <c r="J11" s="1351"/>
      <c r="P11" s="158"/>
      <c r="Q11" s="863"/>
    </row>
    <row r="12" spans="1:24">
      <c r="A12" s="460"/>
      <c r="B12" s="1330" t="s">
        <v>771</v>
      </c>
      <c r="C12" s="1331"/>
      <c r="D12" s="1331"/>
      <c r="E12" s="1331"/>
      <c r="F12" s="1332"/>
      <c r="G12" s="1333" t="s">
        <v>772</v>
      </c>
      <c r="H12" s="1336" t="s">
        <v>773</v>
      </c>
      <c r="I12" s="1337"/>
      <c r="J12" s="1336" t="s">
        <v>774</v>
      </c>
      <c r="K12" s="461" t="s">
        <v>775</v>
      </c>
      <c r="P12" s="158"/>
      <c r="Q12" s="863"/>
    </row>
    <row r="13" spans="1:24" ht="13.5" customHeight="1">
      <c r="A13" s="1340" t="s">
        <v>776</v>
      </c>
      <c r="B13" s="1333" t="s">
        <v>777</v>
      </c>
      <c r="C13" s="1330" t="s">
        <v>778</v>
      </c>
      <c r="D13" s="1331"/>
      <c r="E13" s="1332"/>
      <c r="F13" s="1333" t="s">
        <v>779</v>
      </c>
      <c r="G13" s="1334"/>
      <c r="H13" s="1339" t="s">
        <v>780</v>
      </c>
      <c r="I13" s="1339" t="s">
        <v>1735</v>
      </c>
      <c r="J13" s="1335"/>
      <c r="K13" s="462"/>
      <c r="P13" s="158"/>
      <c r="Q13" s="863"/>
    </row>
    <row r="14" spans="1:24" ht="57.75" customHeight="1">
      <c r="A14" s="1341"/>
      <c r="B14" s="1335"/>
      <c r="C14" s="463" t="s">
        <v>781</v>
      </c>
      <c r="D14" s="463" t="s">
        <v>782</v>
      </c>
      <c r="E14" s="463" t="s">
        <v>783</v>
      </c>
      <c r="F14" s="1335"/>
      <c r="G14" s="1335"/>
      <c r="H14" s="1338"/>
      <c r="I14" s="1338"/>
      <c r="J14" s="1338"/>
      <c r="K14" s="464" t="s">
        <v>784</v>
      </c>
      <c r="P14" s="158"/>
      <c r="Q14" s="863"/>
    </row>
    <row r="15" spans="1:24">
      <c r="A15" s="465" t="s">
        <v>785</v>
      </c>
      <c r="B15" s="76" t="s">
        <v>1825</v>
      </c>
      <c r="C15" s="76" t="s">
        <v>1825</v>
      </c>
      <c r="D15" s="76" t="s">
        <v>1825</v>
      </c>
      <c r="E15" s="76" t="s">
        <v>1825</v>
      </c>
      <c r="F15" s="76" t="s">
        <v>1825</v>
      </c>
      <c r="G15" s="76" t="s">
        <v>1828</v>
      </c>
      <c r="H15" s="1206" t="s">
        <v>786</v>
      </c>
      <c r="I15" s="1206"/>
      <c r="J15" s="865"/>
      <c r="K15" s="866"/>
      <c r="M15" s="449" t="str">
        <f>IF(COUNTBLANK(B15:G15)=0,"○","×")</f>
        <v>○</v>
      </c>
      <c r="N15" s="449" t="str">
        <f>IF(AND(COUNTIF(B15:F15,"◎")&gt;=1,J15=""),"×","○")</f>
        <v>○</v>
      </c>
      <c r="P15" s="158"/>
      <c r="Q15" s="863"/>
    </row>
    <row r="16" spans="1:24" ht="27">
      <c r="A16" s="465" t="s">
        <v>787</v>
      </c>
      <c r="B16" s="76" t="s">
        <v>1825</v>
      </c>
      <c r="C16" s="466"/>
      <c r="D16" s="76" t="s">
        <v>1826</v>
      </c>
      <c r="E16" s="76" t="s">
        <v>862</v>
      </c>
      <c r="F16" s="76" t="s">
        <v>1826</v>
      </c>
      <c r="G16" s="76" t="s">
        <v>1828</v>
      </c>
      <c r="H16" s="1206"/>
      <c r="I16" s="1206"/>
      <c r="J16" s="865" t="s">
        <v>1832</v>
      </c>
      <c r="K16" s="866"/>
      <c r="M16" s="467" t="str">
        <f>IF(OR(B16="",D16="",E16="",F16="",G16=""),"×","○")</f>
        <v>○</v>
      </c>
      <c r="N16" s="449" t="str">
        <f>IF(AND(COUNTIF(B16:F16,"◎")&gt;=1,J16=""),"×","○")</f>
        <v>○</v>
      </c>
      <c r="P16" s="158"/>
      <c r="Q16" s="863"/>
    </row>
    <row r="17" spans="1:17" ht="27">
      <c r="A17" s="465" t="s">
        <v>788</v>
      </c>
      <c r="B17" s="76" t="s">
        <v>862</v>
      </c>
      <c r="C17" s="76" t="s">
        <v>862</v>
      </c>
      <c r="D17" s="76" t="s">
        <v>862</v>
      </c>
      <c r="E17" s="76" t="s">
        <v>862</v>
      </c>
      <c r="F17" s="76" t="s">
        <v>1825</v>
      </c>
      <c r="G17" s="76" t="s">
        <v>1828</v>
      </c>
      <c r="H17" s="1206"/>
      <c r="I17" s="1206"/>
      <c r="J17" s="865" t="s">
        <v>1833</v>
      </c>
      <c r="K17" s="866" t="s">
        <v>1834</v>
      </c>
      <c r="M17" s="449" t="str">
        <f t="shared" ref="M17:M80" si="0">IF(COUNTBLANK(B17:G17)=0,"○","×")</f>
        <v>○</v>
      </c>
      <c r="N17" s="449" t="str">
        <f t="shared" ref="N17:N80" si="1">IF(AND(COUNTIF(B17:F17,"◎")&gt;=1,J17=""),"×","○")</f>
        <v>○</v>
      </c>
      <c r="P17" s="158"/>
      <c r="Q17" s="863"/>
    </row>
    <row r="18" spans="1:17">
      <c r="A18" s="465" t="s">
        <v>789</v>
      </c>
      <c r="B18" s="76" t="s">
        <v>1825</v>
      </c>
      <c r="C18" s="76" t="s">
        <v>1825</v>
      </c>
      <c r="D18" s="76" t="s">
        <v>862</v>
      </c>
      <c r="E18" s="76" t="s">
        <v>1825</v>
      </c>
      <c r="F18" s="76" t="s">
        <v>1825</v>
      </c>
      <c r="G18" s="76" t="s">
        <v>1828</v>
      </c>
      <c r="H18" s="1206"/>
      <c r="I18" s="1206"/>
      <c r="J18" s="865"/>
      <c r="K18" s="866"/>
      <c r="M18" s="449" t="str">
        <f t="shared" si="0"/>
        <v>○</v>
      </c>
      <c r="N18" s="449" t="str">
        <f t="shared" si="1"/>
        <v>○</v>
      </c>
      <c r="P18" s="158"/>
      <c r="Q18" s="863"/>
    </row>
    <row r="19" spans="1:17">
      <c r="A19" s="465" t="s">
        <v>790</v>
      </c>
      <c r="B19" s="76" t="s">
        <v>862</v>
      </c>
      <c r="C19" s="76" t="s">
        <v>1825</v>
      </c>
      <c r="D19" s="76" t="s">
        <v>862</v>
      </c>
      <c r="E19" s="76" t="s">
        <v>1825</v>
      </c>
      <c r="F19" s="76" t="s">
        <v>1825</v>
      </c>
      <c r="G19" s="76" t="s">
        <v>1828</v>
      </c>
      <c r="H19" s="1206"/>
      <c r="I19" s="1206"/>
      <c r="J19" s="865" t="s">
        <v>1835</v>
      </c>
      <c r="K19" s="866"/>
      <c r="M19" s="449" t="str">
        <f t="shared" si="0"/>
        <v>○</v>
      </c>
      <c r="N19" s="449" t="str">
        <f t="shared" si="1"/>
        <v>○</v>
      </c>
      <c r="P19" s="158"/>
      <c r="Q19" s="863"/>
    </row>
    <row r="20" spans="1:17">
      <c r="A20" s="465" t="s">
        <v>791</v>
      </c>
      <c r="B20" s="76" t="s">
        <v>862</v>
      </c>
      <c r="C20" s="76" t="s">
        <v>1825</v>
      </c>
      <c r="D20" s="76" t="s">
        <v>862</v>
      </c>
      <c r="E20" s="76" t="s">
        <v>1825</v>
      </c>
      <c r="F20" s="76" t="s">
        <v>1825</v>
      </c>
      <c r="G20" s="76" t="s">
        <v>1828</v>
      </c>
      <c r="H20" s="1206"/>
      <c r="I20" s="1206"/>
      <c r="J20" s="865" t="s">
        <v>1835</v>
      </c>
      <c r="K20" s="866"/>
      <c r="M20" s="449" t="str">
        <f t="shared" si="0"/>
        <v>○</v>
      </c>
      <c r="N20" s="449" t="str">
        <f t="shared" si="1"/>
        <v>○</v>
      </c>
      <c r="P20" s="158"/>
      <c r="Q20" s="863"/>
    </row>
    <row r="21" spans="1:17">
      <c r="A21" s="465" t="s">
        <v>792</v>
      </c>
      <c r="B21" s="76" t="s">
        <v>862</v>
      </c>
      <c r="C21" s="76" t="s">
        <v>1825</v>
      </c>
      <c r="D21" s="76" t="s">
        <v>862</v>
      </c>
      <c r="E21" s="76" t="s">
        <v>1825</v>
      </c>
      <c r="F21" s="76" t="s">
        <v>1825</v>
      </c>
      <c r="G21" s="76" t="s">
        <v>1828</v>
      </c>
      <c r="H21" s="1206" t="s">
        <v>793</v>
      </c>
      <c r="I21" s="1206"/>
      <c r="J21" s="865" t="s">
        <v>1835</v>
      </c>
      <c r="K21" s="866"/>
      <c r="M21" s="449" t="str">
        <f t="shared" si="0"/>
        <v>○</v>
      </c>
      <c r="N21" s="449" t="str">
        <f t="shared" si="1"/>
        <v>○</v>
      </c>
      <c r="P21" s="158"/>
      <c r="Q21" s="863"/>
    </row>
    <row r="22" spans="1:17">
      <c r="A22" s="465" t="s">
        <v>794</v>
      </c>
      <c r="B22" s="76" t="s">
        <v>862</v>
      </c>
      <c r="C22" s="76" t="s">
        <v>862</v>
      </c>
      <c r="D22" s="76" t="s">
        <v>862</v>
      </c>
      <c r="E22" s="76" t="s">
        <v>1825</v>
      </c>
      <c r="F22" s="76" t="s">
        <v>1825</v>
      </c>
      <c r="G22" s="76" t="s">
        <v>1828</v>
      </c>
      <c r="H22" s="1206"/>
      <c r="I22" s="1206"/>
      <c r="J22" s="865" t="s">
        <v>1835</v>
      </c>
      <c r="K22" s="866"/>
      <c r="M22" s="449" t="str">
        <f t="shared" si="0"/>
        <v>○</v>
      </c>
      <c r="N22" s="449" t="str">
        <f t="shared" si="1"/>
        <v>○</v>
      </c>
      <c r="P22" s="158"/>
      <c r="Q22" s="863"/>
    </row>
    <row r="23" spans="1:17">
      <c r="A23" s="465" t="s">
        <v>795</v>
      </c>
      <c r="B23" s="76" t="s">
        <v>862</v>
      </c>
      <c r="C23" s="76" t="s">
        <v>1825</v>
      </c>
      <c r="D23" s="76" t="s">
        <v>862</v>
      </c>
      <c r="E23" s="76" t="s">
        <v>1825</v>
      </c>
      <c r="F23" s="76" t="s">
        <v>1825</v>
      </c>
      <c r="G23" s="76" t="s">
        <v>1828</v>
      </c>
      <c r="H23" s="1206"/>
      <c r="I23" s="1206"/>
      <c r="J23" s="865" t="s">
        <v>1835</v>
      </c>
      <c r="K23" s="866"/>
      <c r="M23" s="449" t="str">
        <f t="shared" si="0"/>
        <v>○</v>
      </c>
      <c r="N23" s="449" t="str">
        <f t="shared" si="1"/>
        <v>○</v>
      </c>
      <c r="P23" s="158"/>
      <c r="Q23" s="863"/>
    </row>
    <row r="24" spans="1:17">
      <c r="A24" s="465" t="s">
        <v>796</v>
      </c>
      <c r="B24" s="76" t="s">
        <v>862</v>
      </c>
      <c r="C24" s="76" t="s">
        <v>1825</v>
      </c>
      <c r="D24" s="76" t="s">
        <v>862</v>
      </c>
      <c r="E24" s="76" t="s">
        <v>1825</v>
      </c>
      <c r="F24" s="76" t="s">
        <v>1825</v>
      </c>
      <c r="G24" s="76" t="s">
        <v>1828</v>
      </c>
      <c r="H24" s="1206"/>
      <c r="I24" s="1206"/>
      <c r="J24" s="865" t="s">
        <v>1835</v>
      </c>
      <c r="K24" s="866"/>
      <c r="M24" s="449" t="str">
        <f t="shared" si="0"/>
        <v>○</v>
      </c>
      <c r="N24" s="449" t="str">
        <f t="shared" si="1"/>
        <v>○</v>
      </c>
      <c r="P24" s="158"/>
      <c r="Q24" s="863"/>
    </row>
    <row r="25" spans="1:17">
      <c r="A25" s="465" t="s">
        <v>797</v>
      </c>
      <c r="B25" s="76" t="s">
        <v>1825</v>
      </c>
      <c r="C25" s="76" t="s">
        <v>1825</v>
      </c>
      <c r="D25" s="76" t="s">
        <v>862</v>
      </c>
      <c r="E25" s="76" t="s">
        <v>1825</v>
      </c>
      <c r="F25" s="76" t="s">
        <v>1825</v>
      </c>
      <c r="G25" s="76" t="s">
        <v>1828</v>
      </c>
      <c r="H25" s="1206"/>
      <c r="I25" s="1206"/>
      <c r="J25" s="865" t="s">
        <v>1835</v>
      </c>
      <c r="K25" s="866"/>
      <c r="M25" s="449" t="str">
        <f t="shared" si="0"/>
        <v>○</v>
      </c>
      <c r="N25" s="449" t="str">
        <f t="shared" si="1"/>
        <v>○</v>
      </c>
      <c r="P25" s="158"/>
      <c r="Q25" s="863"/>
    </row>
    <row r="26" spans="1:17">
      <c r="A26" s="465" t="s">
        <v>798</v>
      </c>
      <c r="B26" s="76" t="s">
        <v>862</v>
      </c>
      <c r="C26" s="76" t="s">
        <v>862</v>
      </c>
      <c r="D26" s="76" t="s">
        <v>862</v>
      </c>
      <c r="E26" s="76" t="s">
        <v>1825</v>
      </c>
      <c r="F26" s="76" t="s">
        <v>1825</v>
      </c>
      <c r="G26" s="76" t="s">
        <v>1828</v>
      </c>
      <c r="H26" s="1206"/>
      <c r="I26" s="1206"/>
      <c r="J26" s="865" t="s">
        <v>1835</v>
      </c>
      <c r="K26" s="866"/>
      <c r="M26" s="449" t="str">
        <f t="shared" si="0"/>
        <v>○</v>
      </c>
      <c r="N26" s="449" t="str">
        <f t="shared" si="1"/>
        <v>○</v>
      </c>
      <c r="P26" s="158"/>
      <c r="Q26" s="863"/>
    </row>
    <row r="27" spans="1:17">
      <c r="A27" s="465" t="s">
        <v>799</v>
      </c>
      <c r="B27" s="76" t="s">
        <v>1826</v>
      </c>
      <c r="C27" s="76" t="s">
        <v>1826</v>
      </c>
      <c r="D27" s="76" t="s">
        <v>862</v>
      </c>
      <c r="E27" s="76" t="s">
        <v>1826</v>
      </c>
      <c r="F27" s="76" t="s">
        <v>1826</v>
      </c>
      <c r="G27" s="76" t="s">
        <v>1829</v>
      </c>
      <c r="H27" s="1206"/>
      <c r="I27" s="1206"/>
      <c r="J27" s="865" t="s">
        <v>1836</v>
      </c>
      <c r="K27" s="866"/>
      <c r="M27" s="449" t="str">
        <f t="shared" si="0"/>
        <v>○</v>
      </c>
      <c r="N27" s="449" t="str">
        <f t="shared" si="1"/>
        <v>○</v>
      </c>
      <c r="P27" s="158"/>
      <c r="Q27" s="863"/>
    </row>
    <row r="28" spans="1:17" ht="27">
      <c r="A28" s="465" t="s">
        <v>800</v>
      </c>
      <c r="B28" s="76" t="s">
        <v>862</v>
      </c>
      <c r="C28" s="76" t="s">
        <v>862</v>
      </c>
      <c r="D28" s="76" t="s">
        <v>862</v>
      </c>
      <c r="E28" s="76" t="s">
        <v>862</v>
      </c>
      <c r="F28" s="76" t="s">
        <v>862</v>
      </c>
      <c r="G28" s="76" t="s">
        <v>1828</v>
      </c>
      <c r="H28" s="1206"/>
      <c r="I28" s="1206"/>
      <c r="J28" s="865" t="s">
        <v>1837</v>
      </c>
      <c r="K28" s="866"/>
      <c r="M28" s="449" t="str">
        <f t="shared" si="0"/>
        <v>○</v>
      </c>
      <c r="N28" s="449" t="str">
        <f t="shared" si="1"/>
        <v>○</v>
      </c>
      <c r="P28" s="158"/>
      <c r="Q28" s="863"/>
    </row>
    <row r="29" spans="1:17" ht="27">
      <c r="A29" s="465" t="s">
        <v>801</v>
      </c>
      <c r="B29" s="76" t="s">
        <v>1826</v>
      </c>
      <c r="C29" s="76" t="s">
        <v>1826</v>
      </c>
      <c r="D29" s="76" t="s">
        <v>862</v>
      </c>
      <c r="E29" s="76" t="s">
        <v>1826</v>
      </c>
      <c r="F29" s="76" t="s">
        <v>1826</v>
      </c>
      <c r="G29" s="76" t="s">
        <v>1828</v>
      </c>
      <c r="H29" s="1206"/>
      <c r="I29" s="1206"/>
      <c r="J29" s="865" t="s">
        <v>1838</v>
      </c>
      <c r="K29" s="866"/>
      <c r="M29" s="449" t="str">
        <f t="shared" si="0"/>
        <v>○</v>
      </c>
      <c r="N29" s="449" t="str">
        <f t="shared" si="1"/>
        <v>○</v>
      </c>
      <c r="P29" s="158"/>
      <c r="Q29" s="863"/>
    </row>
    <row r="30" spans="1:17" ht="27">
      <c r="A30" s="465" t="s">
        <v>802</v>
      </c>
      <c r="B30" s="76" t="s">
        <v>1826</v>
      </c>
      <c r="C30" s="76" t="s">
        <v>1826</v>
      </c>
      <c r="D30" s="76" t="s">
        <v>862</v>
      </c>
      <c r="E30" s="76" t="s">
        <v>1826</v>
      </c>
      <c r="F30" s="76" t="s">
        <v>1826</v>
      </c>
      <c r="G30" s="76" t="s">
        <v>1828</v>
      </c>
      <c r="H30" s="1206"/>
      <c r="I30" s="1206"/>
      <c r="J30" s="865" t="s">
        <v>1838</v>
      </c>
      <c r="K30" s="866"/>
      <c r="M30" s="449" t="str">
        <f t="shared" si="0"/>
        <v>○</v>
      </c>
      <c r="N30" s="449" t="str">
        <f t="shared" si="1"/>
        <v>○</v>
      </c>
      <c r="P30" s="158"/>
      <c r="Q30" s="863"/>
    </row>
    <row r="31" spans="1:17" ht="27">
      <c r="A31" s="465" t="s">
        <v>803</v>
      </c>
      <c r="B31" s="76" t="s">
        <v>862</v>
      </c>
      <c r="C31" s="76" t="s">
        <v>862</v>
      </c>
      <c r="D31" s="76" t="s">
        <v>862</v>
      </c>
      <c r="E31" s="76" t="s">
        <v>862</v>
      </c>
      <c r="F31" s="76" t="s">
        <v>1825</v>
      </c>
      <c r="G31" s="76" t="s">
        <v>1828</v>
      </c>
      <c r="H31" s="1206"/>
      <c r="I31" s="1206"/>
      <c r="J31" s="865" t="s">
        <v>1838</v>
      </c>
      <c r="K31" s="866"/>
      <c r="M31" s="449" t="str">
        <f>IF(COUNTBLANK(B31:G31)=0,"○","×")</f>
        <v>○</v>
      </c>
      <c r="N31" s="449" t="str">
        <f t="shared" ref="N31" si="2">IF(AND(COUNTIF(B31:F31,"◎")&gt;=1,J31=""),"×","○")</f>
        <v>○</v>
      </c>
      <c r="P31" s="158"/>
      <c r="Q31" s="863"/>
    </row>
    <row r="32" spans="1:17" ht="27">
      <c r="A32" s="465" t="s">
        <v>804</v>
      </c>
      <c r="B32" s="76" t="s">
        <v>1826</v>
      </c>
      <c r="C32" s="76" t="s">
        <v>1826</v>
      </c>
      <c r="D32" s="76" t="s">
        <v>862</v>
      </c>
      <c r="E32" s="76" t="s">
        <v>862</v>
      </c>
      <c r="F32" s="76" t="s">
        <v>1825</v>
      </c>
      <c r="G32" s="76" t="s">
        <v>1828</v>
      </c>
      <c r="H32" s="1206"/>
      <c r="I32" s="1206"/>
      <c r="J32" s="865" t="s">
        <v>1838</v>
      </c>
      <c r="K32" s="866"/>
      <c r="M32" s="449" t="str">
        <f t="shared" si="0"/>
        <v>○</v>
      </c>
      <c r="N32" s="449" t="str">
        <f t="shared" si="1"/>
        <v>○</v>
      </c>
      <c r="P32" s="158"/>
      <c r="Q32" s="863"/>
    </row>
    <row r="33" spans="1:17">
      <c r="A33" s="465" t="s">
        <v>805</v>
      </c>
      <c r="B33" s="76" t="s">
        <v>1826</v>
      </c>
      <c r="C33" s="76" t="s">
        <v>1826</v>
      </c>
      <c r="D33" s="466"/>
      <c r="E33" s="76" t="s">
        <v>1825</v>
      </c>
      <c r="F33" s="76" t="s">
        <v>1825</v>
      </c>
      <c r="G33" s="76" t="s">
        <v>1828</v>
      </c>
      <c r="H33" s="1206"/>
      <c r="I33" s="1206"/>
      <c r="J33" s="865" t="s">
        <v>1839</v>
      </c>
      <c r="K33" s="866"/>
      <c r="M33" s="467" t="str">
        <f>IF(OR(B33="",C33="",E33="",F33="",G33=""),"×","○")</f>
        <v>○</v>
      </c>
      <c r="N33" s="449" t="str">
        <f t="shared" si="1"/>
        <v>○</v>
      </c>
      <c r="P33" s="158"/>
      <c r="Q33" s="863"/>
    </row>
    <row r="34" spans="1:17" ht="27">
      <c r="A34" s="465" t="s">
        <v>806</v>
      </c>
      <c r="B34" s="76" t="s">
        <v>1826</v>
      </c>
      <c r="C34" s="76" t="s">
        <v>1826</v>
      </c>
      <c r="D34" s="76" t="s">
        <v>862</v>
      </c>
      <c r="E34" s="76" t="s">
        <v>1825</v>
      </c>
      <c r="F34" s="76" t="s">
        <v>1825</v>
      </c>
      <c r="G34" s="76" t="s">
        <v>1828</v>
      </c>
      <c r="H34" s="1206"/>
      <c r="I34" s="1206"/>
      <c r="J34" s="865" t="s">
        <v>1840</v>
      </c>
      <c r="K34" s="866"/>
      <c r="M34" s="449" t="str">
        <f t="shared" si="0"/>
        <v>○</v>
      </c>
      <c r="N34" s="449" t="str">
        <f t="shared" si="1"/>
        <v>○</v>
      </c>
      <c r="P34" s="158"/>
      <c r="Q34" s="863"/>
    </row>
    <row r="35" spans="1:17" ht="27">
      <c r="A35" s="465" t="s">
        <v>807</v>
      </c>
      <c r="B35" s="76" t="s">
        <v>1826</v>
      </c>
      <c r="C35" s="76" t="s">
        <v>1825</v>
      </c>
      <c r="D35" s="76" t="s">
        <v>862</v>
      </c>
      <c r="E35" s="76" t="s">
        <v>1826</v>
      </c>
      <c r="F35" s="76" t="s">
        <v>1826</v>
      </c>
      <c r="G35" s="76" t="s">
        <v>1828</v>
      </c>
      <c r="H35" s="1206"/>
      <c r="I35" s="1206"/>
      <c r="J35" s="865" t="s">
        <v>1841</v>
      </c>
      <c r="K35" s="866"/>
      <c r="M35" s="449" t="str">
        <f t="shared" si="0"/>
        <v>○</v>
      </c>
      <c r="N35" s="449" t="str">
        <f t="shared" si="1"/>
        <v>○</v>
      </c>
      <c r="P35" s="158"/>
      <c r="Q35" s="863"/>
    </row>
    <row r="36" spans="1:17" ht="27">
      <c r="A36" s="465" t="s">
        <v>808</v>
      </c>
      <c r="B36" s="76" t="s">
        <v>1825</v>
      </c>
      <c r="C36" s="76" t="s">
        <v>1825</v>
      </c>
      <c r="D36" s="76" t="s">
        <v>862</v>
      </c>
      <c r="E36" s="76" t="s">
        <v>1825</v>
      </c>
      <c r="F36" s="76" t="s">
        <v>1825</v>
      </c>
      <c r="G36" s="76" t="s">
        <v>1828</v>
      </c>
      <c r="H36" s="1206"/>
      <c r="I36" s="1206"/>
      <c r="J36" s="865" t="s">
        <v>1842</v>
      </c>
      <c r="K36" s="866"/>
      <c r="M36" s="449" t="str">
        <f t="shared" si="0"/>
        <v>○</v>
      </c>
      <c r="N36" s="449" t="str">
        <f t="shared" si="1"/>
        <v>○</v>
      </c>
      <c r="P36" s="158"/>
      <c r="Q36" s="863"/>
    </row>
    <row r="37" spans="1:17" ht="27">
      <c r="A37" s="465" t="s">
        <v>809</v>
      </c>
      <c r="B37" s="76" t="s">
        <v>1826</v>
      </c>
      <c r="C37" s="76" t="s">
        <v>1826</v>
      </c>
      <c r="D37" s="76" t="s">
        <v>862</v>
      </c>
      <c r="E37" s="76" t="s">
        <v>1826</v>
      </c>
      <c r="F37" s="76" t="s">
        <v>1826</v>
      </c>
      <c r="G37" s="76" t="s">
        <v>1828</v>
      </c>
      <c r="H37" s="1206"/>
      <c r="I37" s="1206"/>
      <c r="J37" s="865" t="s">
        <v>1842</v>
      </c>
      <c r="K37" s="866"/>
      <c r="M37" s="449" t="str">
        <f t="shared" si="0"/>
        <v>○</v>
      </c>
      <c r="N37" s="449" t="str">
        <f t="shared" si="1"/>
        <v>○</v>
      </c>
      <c r="P37" s="158"/>
      <c r="Q37" s="863"/>
    </row>
    <row r="38" spans="1:17" ht="27">
      <c r="A38" s="465" t="s">
        <v>810</v>
      </c>
      <c r="B38" s="76" t="s">
        <v>1826</v>
      </c>
      <c r="C38" s="76" t="s">
        <v>1826</v>
      </c>
      <c r="D38" s="76" t="s">
        <v>862</v>
      </c>
      <c r="E38" s="76" t="s">
        <v>1826</v>
      </c>
      <c r="F38" s="76" t="s">
        <v>1826</v>
      </c>
      <c r="G38" s="76" t="s">
        <v>1829</v>
      </c>
      <c r="H38" s="1206"/>
      <c r="I38" s="1206"/>
      <c r="J38" s="865" t="s">
        <v>1842</v>
      </c>
      <c r="K38" s="866"/>
      <c r="M38" s="449" t="str">
        <f t="shared" si="0"/>
        <v>○</v>
      </c>
      <c r="N38" s="449" t="str">
        <f t="shared" si="1"/>
        <v>○</v>
      </c>
      <c r="P38" s="158"/>
      <c r="Q38" s="863"/>
    </row>
    <row r="39" spans="1:17" ht="27">
      <c r="A39" s="465" t="s">
        <v>811</v>
      </c>
      <c r="B39" s="76" t="s">
        <v>862</v>
      </c>
      <c r="C39" s="76" t="s">
        <v>862</v>
      </c>
      <c r="D39" s="76" t="s">
        <v>862</v>
      </c>
      <c r="E39" s="76" t="s">
        <v>862</v>
      </c>
      <c r="F39" s="76" t="s">
        <v>862</v>
      </c>
      <c r="G39" s="76" t="s">
        <v>1828</v>
      </c>
      <c r="H39" s="1206"/>
      <c r="I39" s="1206"/>
      <c r="J39" s="865" t="s">
        <v>1842</v>
      </c>
      <c r="K39" s="866"/>
      <c r="M39" s="449" t="str">
        <f t="shared" si="0"/>
        <v>○</v>
      </c>
      <c r="N39" s="449" t="str">
        <f t="shared" si="1"/>
        <v>○</v>
      </c>
      <c r="P39" s="158"/>
      <c r="Q39" s="863"/>
    </row>
    <row r="40" spans="1:17" ht="27">
      <c r="A40" s="465" t="s">
        <v>812</v>
      </c>
      <c r="B40" s="76" t="s">
        <v>1826</v>
      </c>
      <c r="C40" s="76" t="s">
        <v>1826</v>
      </c>
      <c r="D40" s="76" t="s">
        <v>862</v>
      </c>
      <c r="E40" s="76" t="s">
        <v>1826</v>
      </c>
      <c r="F40" s="76" t="s">
        <v>1826</v>
      </c>
      <c r="G40" s="76" t="s">
        <v>1829</v>
      </c>
      <c r="H40" s="1206"/>
      <c r="I40" s="1206"/>
      <c r="J40" s="865" t="s">
        <v>1842</v>
      </c>
      <c r="K40" s="866"/>
      <c r="M40" s="449" t="str">
        <f t="shared" si="0"/>
        <v>○</v>
      </c>
      <c r="N40" s="449" t="str">
        <f t="shared" si="1"/>
        <v>○</v>
      </c>
      <c r="P40" s="158"/>
      <c r="Q40" s="863"/>
    </row>
    <row r="41" spans="1:17" ht="27">
      <c r="A41" s="465" t="s">
        <v>813</v>
      </c>
      <c r="B41" s="76" t="s">
        <v>1826</v>
      </c>
      <c r="C41" s="76" t="s">
        <v>1826</v>
      </c>
      <c r="D41" s="76" t="s">
        <v>862</v>
      </c>
      <c r="E41" s="76" t="s">
        <v>1826</v>
      </c>
      <c r="F41" s="76" t="s">
        <v>1826</v>
      </c>
      <c r="G41" s="76" t="s">
        <v>1828</v>
      </c>
      <c r="H41" s="1206"/>
      <c r="I41" s="1206"/>
      <c r="J41" s="865" t="s">
        <v>1842</v>
      </c>
      <c r="K41" s="866"/>
      <c r="M41" s="449" t="str">
        <f>IF(COUNTBLANK(B41:G41)=0,"○","×")</f>
        <v>○</v>
      </c>
      <c r="N41" s="449" t="str">
        <f t="shared" si="1"/>
        <v>○</v>
      </c>
      <c r="P41" s="158"/>
      <c r="Q41" s="863"/>
    </row>
    <row r="42" spans="1:17" ht="27">
      <c r="A42" s="465" t="s">
        <v>814</v>
      </c>
      <c r="B42" s="76" t="s">
        <v>862</v>
      </c>
      <c r="C42" s="76" t="s">
        <v>862</v>
      </c>
      <c r="D42" s="466"/>
      <c r="E42" s="76" t="s">
        <v>862</v>
      </c>
      <c r="F42" s="76" t="s">
        <v>862</v>
      </c>
      <c r="G42" s="76" t="s">
        <v>1828</v>
      </c>
      <c r="H42" s="1206"/>
      <c r="I42" s="1206"/>
      <c r="J42" s="865" t="s">
        <v>1843</v>
      </c>
      <c r="K42" s="866"/>
      <c r="M42" s="467" t="str">
        <f>IF(OR(B42="",C42="",E42="",F42="",G42=""),"×","○")</f>
        <v>○</v>
      </c>
      <c r="N42" s="449" t="str">
        <f t="shared" si="1"/>
        <v>○</v>
      </c>
      <c r="P42" s="158"/>
      <c r="Q42" s="863"/>
    </row>
    <row r="43" spans="1:17" ht="27">
      <c r="A43" s="465" t="s">
        <v>815</v>
      </c>
      <c r="B43" s="76" t="s">
        <v>862</v>
      </c>
      <c r="C43" s="76" t="s">
        <v>1826</v>
      </c>
      <c r="D43" s="76" t="s">
        <v>1825</v>
      </c>
      <c r="E43" s="76" t="s">
        <v>862</v>
      </c>
      <c r="F43" s="76" t="s">
        <v>862</v>
      </c>
      <c r="G43" s="76" t="s">
        <v>1828</v>
      </c>
      <c r="H43" s="1206" t="s">
        <v>816</v>
      </c>
      <c r="I43" s="1206"/>
      <c r="J43" s="865" t="s">
        <v>1843</v>
      </c>
      <c r="K43" s="866"/>
      <c r="M43" s="449" t="str">
        <f t="shared" si="0"/>
        <v>○</v>
      </c>
      <c r="N43" s="449" t="str">
        <f t="shared" si="1"/>
        <v>○</v>
      </c>
      <c r="P43" s="158"/>
      <c r="Q43" s="863"/>
    </row>
    <row r="44" spans="1:17" ht="27">
      <c r="A44" s="465" t="s">
        <v>817</v>
      </c>
      <c r="B44" s="76" t="s">
        <v>1826</v>
      </c>
      <c r="C44" s="76" t="s">
        <v>1826</v>
      </c>
      <c r="D44" s="76" t="s">
        <v>862</v>
      </c>
      <c r="E44" s="76" t="s">
        <v>1826</v>
      </c>
      <c r="F44" s="76" t="s">
        <v>1826</v>
      </c>
      <c r="G44" s="76" t="s">
        <v>1830</v>
      </c>
      <c r="H44" s="1206"/>
      <c r="I44" s="1206"/>
      <c r="J44" s="865" t="s">
        <v>1842</v>
      </c>
      <c r="K44" s="866"/>
      <c r="M44" s="449" t="str">
        <f t="shared" si="0"/>
        <v>○</v>
      </c>
      <c r="N44" s="449" t="str">
        <f t="shared" si="1"/>
        <v>○</v>
      </c>
      <c r="P44" s="158"/>
      <c r="Q44" s="863"/>
    </row>
    <row r="45" spans="1:17" ht="27">
      <c r="A45" s="465" t="s">
        <v>818</v>
      </c>
      <c r="B45" s="76" t="s">
        <v>1826</v>
      </c>
      <c r="C45" s="76" t="s">
        <v>1826</v>
      </c>
      <c r="D45" s="76" t="s">
        <v>862</v>
      </c>
      <c r="E45" s="76" t="s">
        <v>1826</v>
      </c>
      <c r="F45" s="76" t="s">
        <v>1826</v>
      </c>
      <c r="G45" s="76" t="s">
        <v>1828</v>
      </c>
      <c r="H45" s="1206" t="s">
        <v>819</v>
      </c>
      <c r="I45" s="1206"/>
      <c r="J45" s="865" t="s">
        <v>1842</v>
      </c>
      <c r="K45" s="866"/>
      <c r="M45" s="449" t="str">
        <f t="shared" si="0"/>
        <v>○</v>
      </c>
      <c r="N45" s="449" t="str">
        <f t="shared" si="1"/>
        <v>○</v>
      </c>
      <c r="P45" s="158"/>
      <c r="Q45" s="863"/>
    </row>
    <row r="46" spans="1:17" ht="27">
      <c r="A46" s="465" t="s">
        <v>820</v>
      </c>
      <c r="B46" s="76" t="s">
        <v>1826</v>
      </c>
      <c r="C46" s="76" t="s">
        <v>1826</v>
      </c>
      <c r="D46" s="76" t="s">
        <v>862</v>
      </c>
      <c r="E46" s="76" t="s">
        <v>1826</v>
      </c>
      <c r="F46" s="76" t="s">
        <v>1826</v>
      </c>
      <c r="G46" s="76" t="s">
        <v>1828</v>
      </c>
      <c r="H46" s="1206"/>
      <c r="I46" s="1206"/>
      <c r="J46" s="865" t="s">
        <v>1842</v>
      </c>
      <c r="K46" s="866"/>
      <c r="M46" s="449" t="str">
        <f t="shared" si="0"/>
        <v>○</v>
      </c>
      <c r="N46" s="449" t="str">
        <f t="shared" si="1"/>
        <v>○</v>
      </c>
      <c r="P46" s="158"/>
      <c r="Q46" s="863"/>
    </row>
    <row r="47" spans="1:17" ht="27">
      <c r="A47" s="465" t="s">
        <v>821</v>
      </c>
      <c r="B47" s="76" t="s">
        <v>862</v>
      </c>
      <c r="C47" s="76" t="s">
        <v>862</v>
      </c>
      <c r="D47" s="76" t="s">
        <v>1825</v>
      </c>
      <c r="E47" s="76" t="s">
        <v>862</v>
      </c>
      <c r="F47" s="76" t="s">
        <v>862</v>
      </c>
      <c r="G47" s="76" t="s">
        <v>1828</v>
      </c>
      <c r="H47" s="1206" t="s">
        <v>816</v>
      </c>
      <c r="I47" s="1206"/>
      <c r="J47" s="865" t="s">
        <v>1843</v>
      </c>
      <c r="K47" s="866"/>
      <c r="M47" s="449" t="str">
        <f t="shared" si="0"/>
        <v>○</v>
      </c>
      <c r="N47" s="449" t="str">
        <f t="shared" si="1"/>
        <v>○</v>
      </c>
      <c r="P47" s="158"/>
      <c r="Q47" s="863"/>
    </row>
    <row r="48" spans="1:17" ht="27">
      <c r="A48" s="465" t="s">
        <v>822</v>
      </c>
      <c r="B48" s="76" t="s">
        <v>862</v>
      </c>
      <c r="C48" s="76" t="s">
        <v>862</v>
      </c>
      <c r="D48" s="466"/>
      <c r="E48" s="76" t="s">
        <v>862</v>
      </c>
      <c r="F48" s="76" t="s">
        <v>862</v>
      </c>
      <c r="G48" s="76" t="s">
        <v>1828</v>
      </c>
      <c r="H48" s="1207"/>
      <c r="I48" s="1207"/>
      <c r="J48" s="865" t="s">
        <v>1843</v>
      </c>
      <c r="K48" s="866"/>
      <c r="M48" s="467" t="str">
        <f>IF(OR(B48="",C48="",E48="",F48="",G48=""),"×","○")</f>
        <v>○</v>
      </c>
      <c r="N48" s="449" t="str">
        <f t="shared" si="1"/>
        <v>○</v>
      </c>
      <c r="P48" s="158"/>
      <c r="Q48" s="863"/>
    </row>
    <row r="49" spans="1:17" ht="27">
      <c r="A49" s="465" t="s">
        <v>823</v>
      </c>
      <c r="B49" s="76" t="s">
        <v>862</v>
      </c>
      <c r="C49" s="76" t="s">
        <v>862</v>
      </c>
      <c r="D49" s="76" t="s">
        <v>1827</v>
      </c>
      <c r="E49" s="76" t="s">
        <v>1825</v>
      </c>
      <c r="F49" s="76" t="s">
        <v>1825</v>
      </c>
      <c r="G49" s="76" t="s">
        <v>1828</v>
      </c>
      <c r="H49" s="1207"/>
      <c r="I49" s="1207"/>
      <c r="J49" s="865" t="s">
        <v>1843</v>
      </c>
      <c r="K49" s="866"/>
      <c r="M49" s="449" t="str">
        <f t="shared" si="0"/>
        <v>○</v>
      </c>
      <c r="N49" s="449" t="str">
        <f t="shared" si="1"/>
        <v>○</v>
      </c>
      <c r="P49" s="158"/>
      <c r="Q49" s="863"/>
    </row>
    <row r="50" spans="1:17" ht="27">
      <c r="A50" s="465" t="s">
        <v>824</v>
      </c>
      <c r="B50" s="76" t="s">
        <v>862</v>
      </c>
      <c r="C50" s="76" t="s">
        <v>862</v>
      </c>
      <c r="D50" s="76" t="s">
        <v>862</v>
      </c>
      <c r="E50" s="76" t="s">
        <v>1825</v>
      </c>
      <c r="F50" s="76" t="s">
        <v>1825</v>
      </c>
      <c r="G50" s="76" t="s">
        <v>1828</v>
      </c>
      <c r="H50" s="1206"/>
      <c r="I50" s="1206"/>
      <c r="J50" s="865" t="s">
        <v>1844</v>
      </c>
      <c r="K50" s="866"/>
      <c r="M50" s="449" t="str">
        <f t="shared" si="0"/>
        <v>○</v>
      </c>
      <c r="N50" s="449" t="str">
        <f t="shared" si="1"/>
        <v>○</v>
      </c>
      <c r="P50" s="158"/>
      <c r="Q50" s="863"/>
    </row>
    <row r="51" spans="1:17" ht="27">
      <c r="A51" s="465" t="s">
        <v>825</v>
      </c>
      <c r="B51" s="76" t="s">
        <v>1826</v>
      </c>
      <c r="C51" s="76" t="s">
        <v>1826</v>
      </c>
      <c r="D51" s="466"/>
      <c r="E51" s="76" t="s">
        <v>1826</v>
      </c>
      <c r="F51" s="76" t="s">
        <v>1826</v>
      </c>
      <c r="G51" s="76" t="s">
        <v>1828</v>
      </c>
      <c r="H51" s="1206"/>
      <c r="I51" s="1206"/>
      <c r="J51" s="865" t="s">
        <v>1845</v>
      </c>
      <c r="K51" s="866"/>
      <c r="M51" s="467" t="str">
        <f>IF(OR(B51="",C51="",E51="",F51="",G51=""),"×","○")</f>
        <v>○</v>
      </c>
      <c r="N51" s="449" t="str">
        <f t="shared" si="1"/>
        <v>○</v>
      </c>
      <c r="P51" s="158"/>
      <c r="Q51" s="863"/>
    </row>
    <row r="52" spans="1:17" ht="27">
      <c r="A52" s="465" t="s">
        <v>826</v>
      </c>
      <c r="B52" s="76" t="s">
        <v>862</v>
      </c>
      <c r="C52" s="76" t="s">
        <v>862</v>
      </c>
      <c r="D52" s="76" t="s">
        <v>1825</v>
      </c>
      <c r="E52" s="76" t="s">
        <v>862</v>
      </c>
      <c r="F52" s="76" t="s">
        <v>862</v>
      </c>
      <c r="G52" s="76" t="s">
        <v>1828</v>
      </c>
      <c r="H52" s="1206"/>
      <c r="I52" s="1206"/>
      <c r="J52" s="865" t="s">
        <v>1845</v>
      </c>
      <c r="K52" s="866"/>
      <c r="M52" s="449" t="str">
        <f>IF(COUNTBLANK(B52:G52)=0,"○","×")</f>
        <v>○</v>
      </c>
      <c r="N52" s="449" t="str">
        <f t="shared" si="1"/>
        <v>○</v>
      </c>
      <c r="P52" s="158"/>
      <c r="Q52" s="863"/>
    </row>
    <row r="53" spans="1:17" ht="27">
      <c r="A53" s="465" t="s">
        <v>827</v>
      </c>
      <c r="B53" s="76" t="s">
        <v>862</v>
      </c>
      <c r="C53" s="76" t="s">
        <v>862</v>
      </c>
      <c r="D53" s="76" t="s">
        <v>862</v>
      </c>
      <c r="E53" s="76" t="s">
        <v>862</v>
      </c>
      <c r="F53" s="76" t="s">
        <v>862</v>
      </c>
      <c r="G53" s="76" t="s">
        <v>1828</v>
      </c>
      <c r="H53" s="1206"/>
      <c r="I53" s="1206"/>
      <c r="J53" s="865" t="s">
        <v>1845</v>
      </c>
      <c r="K53" s="866"/>
      <c r="M53" s="449" t="str">
        <f t="shared" si="0"/>
        <v>○</v>
      </c>
      <c r="N53" s="449" t="str">
        <f t="shared" si="1"/>
        <v>○</v>
      </c>
      <c r="P53" s="158"/>
      <c r="Q53" s="863"/>
    </row>
    <row r="54" spans="1:17" ht="27">
      <c r="A54" s="465" t="s">
        <v>828</v>
      </c>
      <c r="B54" s="76" t="s">
        <v>1826</v>
      </c>
      <c r="C54" s="76" t="s">
        <v>1826</v>
      </c>
      <c r="D54" s="76" t="s">
        <v>862</v>
      </c>
      <c r="E54" s="76" t="s">
        <v>1826</v>
      </c>
      <c r="F54" s="76" t="s">
        <v>1826</v>
      </c>
      <c r="G54" s="76" t="s">
        <v>1828</v>
      </c>
      <c r="H54" s="1206" t="s">
        <v>829</v>
      </c>
      <c r="I54" s="1206"/>
      <c r="J54" s="865" t="s">
        <v>1845</v>
      </c>
      <c r="K54" s="866"/>
      <c r="M54" s="449" t="str">
        <f t="shared" si="0"/>
        <v>○</v>
      </c>
      <c r="N54" s="449" t="str">
        <f t="shared" si="1"/>
        <v>○</v>
      </c>
      <c r="P54" s="158"/>
      <c r="Q54" s="863"/>
    </row>
    <row r="55" spans="1:17" ht="27">
      <c r="A55" s="465" t="s">
        <v>830</v>
      </c>
      <c r="B55" s="76" t="s">
        <v>862</v>
      </c>
      <c r="C55" s="76" t="s">
        <v>862</v>
      </c>
      <c r="D55" s="76" t="s">
        <v>862</v>
      </c>
      <c r="E55" s="76" t="s">
        <v>862</v>
      </c>
      <c r="F55" s="76" t="s">
        <v>862</v>
      </c>
      <c r="G55" s="76" t="s">
        <v>1828</v>
      </c>
      <c r="H55" s="1206"/>
      <c r="I55" s="1206"/>
      <c r="J55" s="865" t="s">
        <v>1845</v>
      </c>
      <c r="K55" s="866"/>
      <c r="M55" s="449" t="str">
        <f t="shared" si="0"/>
        <v>○</v>
      </c>
      <c r="N55" s="449" t="str">
        <f t="shared" si="1"/>
        <v>○</v>
      </c>
      <c r="P55" s="158"/>
      <c r="Q55" s="863"/>
    </row>
    <row r="56" spans="1:17" ht="27">
      <c r="A56" s="465" t="s">
        <v>831</v>
      </c>
      <c r="B56" s="76" t="s">
        <v>1826</v>
      </c>
      <c r="C56" s="76" t="s">
        <v>1826</v>
      </c>
      <c r="D56" s="76" t="s">
        <v>862</v>
      </c>
      <c r="E56" s="76" t="s">
        <v>1826</v>
      </c>
      <c r="F56" s="76" t="s">
        <v>1826</v>
      </c>
      <c r="G56" s="76" t="s">
        <v>1831</v>
      </c>
      <c r="H56" s="1206"/>
      <c r="I56" s="1206"/>
      <c r="J56" s="865" t="s">
        <v>1845</v>
      </c>
      <c r="K56" s="866"/>
      <c r="M56" s="449" t="str">
        <f t="shared" si="0"/>
        <v>○</v>
      </c>
      <c r="N56" s="449" t="str">
        <f t="shared" si="1"/>
        <v>○</v>
      </c>
      <c r="P56" s="158"/>
      <c r="Q56" s="863"/>
    </row>
    <row r="57" spans="1:17">
      <c r="A57" s="465" t="s">
        <v>832</v>
      </c>
      <c r="B57" s="76" t="s">
        <v>1825</v>
      </c>
      <c r="C57" s="76" t="s">
        <v>1825</v>
      </c>
      <c r="D57" s="76" t="s">
        <v>1825</v>
      </c>
      <c r="E57" s="76" t="s">
        <v>1825</v>
      </c>
      <c r="F57" s="76" t="s">
        <v>1825</v>
      </c>
      <c r="G57" s="76" t="s">
        <v>1831</v>
      </c>
      <c r="H57" s="1206"/>
      <c r="I57" s="1206"/>
      <c r="J57" s="865"/>
      <c r="K57" s="866"/>
      <c r="M57" s="449" t="str">
        <f t="shared" si="0"/>
        <v>○</v>
      </c>
      <c r="N57" s="449" t="str">
        <f t="shared" si="1"/>
        <v>○</v>
      </c>
      <c r="P57" s="158"/>
      <c r="Q57" s="863"/>
    </row>
    <row r="58" spans="1:17">
      <c r="A58" s="465" t="s">
        <v>833</v>
      </c>
      <c r="B58" s="76" t="s">
        <v>1825</v>
      </c>
      <c r="C58" s="76" t="s">
        <v>1825</v>
      </c>
      <c r="D58" s="76" t="s">
        <v>1825</v>
      </c>
      <c r="E58" s="76" t="s">
        <v>1825</v>
      </c>
      <c r="F58" s="76" t="s">
        <v>1825</v>
      </c>
      <c r="G58" s="76" t="s">
        <v>1831</v>
      </c>
      <c r="H58" s="1206"/>
      <c r="I58" s="1206"/>
      <c r="J58" s="865"/>
      <c r="K58" s="866"/>
      <c r="M58" s="449" t="str">
        <f t="shared" si="0"/>
        <v>○</v>
      </c>
      <c r="N58" s="449" t="str">
        <f t="shared" si="1"/>
        <v>○</v>
      </c>
      <c r="P58" s="158"/>
      <c r="Q58" s="863"/>
    </row>
    <row r="59" spans="1:17">
      <c r="A59" s="465" t="s">
        <v>834</v>
      </c>
      <c r="B59" s="76" t="s">
        <v>1825</v>
      </c>
      <c r="C59" s="76" t="s">
        <v>1825</v>
      </c>
      <c r="D59" s="76" t="s">
        <v>1825</v>
      </c>
      <c r="E59" s="76" t="s">
        <v>1825</v>
      </c>
      <c r="F59" s="76" t="s">
        <v>1825</v>
      </c>
      <c r="G59" s="76" t="s">
        <v>1831</v>
      </c>
      <c r="H59" s="1206"/>
      <c r="I59" s="1206"/>
      <c r="J59" s="865"/>
      <c r="K59" s="866"/>
      <c r="M59" s="449" t="str">
        <f t="shared" si="0"/>
        <v>○</v>
      </c>
      <c r="N59" s="449" t="str">
        <f t="shared" si="1"/>
        <v>○</v>
      </c>
      <c r="P59" s="158"/>
      <c r="Q59" s="863"/>
    </row>
    <row r="60" spans="1:17">
      <c r="A60" s="465" t="s">
        <v>835</v>
      </c>
      <c r="B60" s="76" t="s">
        <v>1825</v>
      </c>
      <c r="C60" s="76" t="s">
        <v>1825</v>
      </c>
      <c r="D60" s="466"/>
      <c r="E60" s="76" t="s">
        <v>1825</v>
      </c>
      <c r="F60" s="76" t="s">
        <v>1825</v>
      </c>
      <c r="G60" s="76" t="s">
        <v>1831</v>
      </c>
      <c r="H60" s="1206"/>
      <c r="I60" s="1206"/>
      <c r="J60" s="865"/>
      <c r="K60" s="866"/>
      <c r="M60" s="467" t="str">
        <f>IF(OR(B60="",C60="",E60="",F60="",G60=""),"×","○")</f>
        <v>○</v>
      </c>
      <c r="N60" s="449" t="str">
        <f t="shared" si="1"/>
        <v>○</v>
      </c>
      <c r="P60" s="158"/>
      <c r="Q60" s="863"/>
    </row>
    <row r="61" spans="1:17">
      <c r="A61" s="468" t="s">
        <v>836</v>
      </c>
      <c r="B61" s="76" t="s">
        <v>1825</v>
      </c>
      <c r="C61" s="76" t="s">
        <v>1825</v>
      </c>
      <c r="D61" s="466"/>
      <c r="E61" s="76" t="s">
        <v>1825</v>
      </c>
      <c r="F61" s="76" t="s">
        <v>1825</v>
      </c>
      <c r="G61" s="76" t="s">
        <v>1831</v>
      </c>
      <c r="H61" s="1206"/>
      <c r="I61" s="1206"/>
      <c r="J61" s="865"/>
      <c r="K61" s="866"/>
      <c r="L61" s="469"/>
      <c r="M61" s="467" t="str">
        <f>IF(OR(B61="",C61="",E61="",F61="",G61=""),"×","○")</f>
        <v>○</v>
      </c>
      <c r="N61" s="449" t="str">
        <f t="shared" si="1"/>
        <v>○</v>
      </c>
      <c r="P61" s="158"/>
      <c r="Q61" s="863"/>
    </row>
    <row r="62" spans="1:17">
      <c r="A62" s="465" t="s">
        <v>837</v>
      </c>
      <c r="B62" s="76" t="s">
        <v>1825</v>
      </c>
      <c r="C62" s="76" t="s">
        <v>1825</v>
      </c>
      <c r="D62" s="76" t="s">
        <v>862</v>
      </c>
      <c r="E62" s="76" t="s">
        <v>1825</v>
      </c>
      <c r="F62" s="76" t="s">
        <v>1825</v>
      </c>
      <c r="G62" s="76" t="s">
        <v>1831</v>
      </c>
      <c r="H62" s="1206"/>
      <c r="I62" s="1206"/>
      <c r="J62" s="865" t="s">
        <v>1846</v>
      </c>
      <c r="K62" s="866"/>
      <c r="L62" s="469"/>
      <c r="M62" s="449" t="str">
        <f t="shared" si="0"/>
        <v>○</v>
      </c>
      <c r="N62" s="449" t="str">
        <f t="shared" si="1"/>
        <v>○</v>
      </c>
      <c r="P62" s="158"/>
      <c r="Q62" s="863"/>
    </row>
    <row r="63" spans="1:17" ht="27">
      <c r="A63" s="465" t="s">
        <v>838</v>
      </c>
      <c r="B63" s="76" t="s">
        <v>1826</v>
      </c>
      <c r="C63" s="76" t="s">
        <v>1826</v>
      </c>
      <c r="D63" s="76" t="s">
        <v>1826</v>
      </c>
      <c r="E63" s="76" t="s">
        <v>1826</v>
      </c>
      <c r="F63" s="76" t="s">
        <v>1826</v>
      </c>
      <c r="G63" s="76" t="s">
        <v>1829</v>
      </c>
      <c r="H63" s="1206"/>
      <c r="I63" s="1206"/>
      <c r="J63" s="865" t="s">
        <v>1833</v>
      </c>
      <c r="K63" s="866"/>
      <c r="L63" s="469"/>
      <c r="M63" s="449" t="str">
        <f t="shared" si="0"/>
        <v>○</v>
      </c>
      <c r="N63" s="449" t="str">
        <f t="shared" si="1"/>
        <v>○</v>
      </c>
      <c r="P63" s="158"/>
      <c r="Q63" s="863"/>
    </row>
    <row r="64" spans="1:17" ht="27">
      <c r="A64" s="465" t="s">
        <v>839</v>
      </c>
      <c r="B64" s="76" t="s">
        <v>1826</v>
      </c>
      <c r="C64" s="76" t="s">
        <v>1826</v>
      </c>
      <c r="D64" s="76" t="s">
        <v>1826</v>
      </c>
      <c r="E64" s="76" t="s">
        <v>1826</v>
      </c>
      <c r="F64" s="76" t="s">
        <v>1826</v>
      </c>
      <c r="G64" s="76" t="s">
        <v>1828</v>
      </c>
      <c r="H64" s="1206"/>
      <c r="I64" s="1206"/>
      <c r="J64" s="865" t="s">
        <v>1833</v>
      </c>
      <c r="K64" s="866"/>
      <c r="L64" s="469"/>
      <c r="M64" s="449" t="str">
        <f t="shared" si="0"/>
        <v>○</v>
      </c>
      <c r="N64" s="449" t="str">
        <f t="shared" si="1"/>
        <v>○</v>
      </c>
      <c r="P64" s="158"/>
      <c r="Q64" s="863"/>
    </row>
    <row r="65" spans="1:17" ht="27">
      <c r="A65" s="465" t="s">
        <v>840</v>
      </c>
      <c r="B65" s="76" t="s">
        <v>862</v>
      </c>
      <c r="C65" s="76" t="s">
        <v>1825</v>
      </c>
      <c r="D65" s="76" t="s">
        <v>1826</v>
      </c>
      <c r="E65" s="76" t="s">
        <v>862</v>
      </c>
      <c r="F65" s="76" t="s">
        <v>862</v>
      </c>
      <c r="G65" s="76" t="s">
        <v>1829</v>
      </c>
      <c r="H65" s="1206"/>
      <c r="I65" s="1206"/>
      <c r="J65" s="865" t="s">
        <v>1833</v>
      </c>
      <c r="K65" s="866"/>
      <c r="L65" s="469"/>
      <c r="M65" s="449" t="str">
        <f>IF(COUNTBLANK(B65:G65)=0,"○","×")</f>
        <v>○</v>
      </c>
      <c r="N65" s="449" t="str">
        <f t="shared" ref="N65" si="3">IF(AND(COUNTIF(B65:F65,"◎")&gt;=1,J65=""),"×","○")</f>
        <v>○</v>
      </c>
      <c r="P65" s="158"/>
      <c r="Q65" s="863"/>
    </row>
    <row r="66" spans="1:17">
      <c r="A66" s="465" t="s">
        <v>841</v>
      </c>
      <c r="B66" s="76" t="s">
        <v>1825</v>
      </c>
      <c r="C66" s="76" t="s">
        <v>1825</v>
      </c>
      <c r="D66" s="76" t="s">
        <v>862</v>
      </c>
      <c r="E66" s="76" t="s">
        <v>1825</v>
      </c>
      <c r="F66" s="76" t="s">
        <v>1825</v>
      </c>
      <c r="G66" s="76" t="s">
        <v>1828</v>
      </c>
      <c r="H66" s="1206"/>
      <c r="I66" s="1206"/>
      <c r="J66" s="865"/>
      <c r="K66" s="866"/>
      <c r="L66" s="469"/>
      <c r="M66" s="449" t="str">
        <f t="shared" si="0"/>
        <v>○</v>
      </c>
      <c r="N66" s="449" t="str">
        <f t="shared" si="1"/>
        <v>○</v>
      </c>
      <c r="P66" s="158"/>
      <c r="Q66" s="863"/>
    </row>
    <row r="67" spans="1:17">
      <c r="A67" s="465" t="s">
        <v>842</v>
      </c>
      <c r="B67" s="76" t="s">
        <v>862</v>
      </c>
      <c r="C67" s="76" t="s">
        <v>1825</v>
      </c>
      <c r="D67" s="76" t="s">
        <v>862</v>
      </c>
      <c r="E67" s="76" t="s">
        <v>1825</v>
      </c>
      <c r="F67" s="76" t="s">
        <v>1825</v>
      </c>
      <c r="G67" s="76" t="s">
        <v>1828</v>
      </c>
      <c r="H67" s="1206"/>
      <c r="I67" s="1206"/>
      <c r="J67" s="865" t="s">
        <v>1847</v>
      </c>
      <c r="K67" s="866"/>
      <c r="L67" s="469"/>
      <c r="M67" s="449" t="str">
        <f t="shared" si="0"/>
        <v>○</v>
      </c>
      <c r="N67" s="449" t="str">
        <f t="shared" si="1"/>
        <v>○</v>
      </c>
      <c r="P67" s="158"/>
      <c r="Q67" s="863"/>
    </row>
    <row r="68" spans="1:17" ht="27">
      <c r="A68" s="465" t="s">
        <v>843</v>
      </c>
      <c r="B68" s="76" t="s">
        <v>1826</v>
      </c>
      <c r="C68" s="466"/>
      <c r="D68" s="76" t="s">
        <v>862</v>
      </c>
      <c r="E68" s="76" t="s">
        <v>1826</v>
      </c>
      <c r="F68" s="76" t="s">
        <v>1826</v>
      </c>
      <c r="G68" s="76" t="s">
        <v>1829</v>
      </c>
      <c r="H68" s="1206"/>
      <c r="I68" s="1206"/>
      <c r="J68" s="866" t="s">
        <v>1848</v>
      </c>
      <c r="K68" s="866"/>
      <c r="L68" s="469"/>
      <c r="M68" s="467" t="str">
        <f>IF(OR(B68="",D68="",E68="",F68="",G68=""),"×","○")</f>
        <v>○</v>
      </c>
      <c r="N68" s="449" t="str">
        <f t="shared" si="1"/>
        <v>○</v>
      </c>
      <c r="P68" s="158"/>
      <c r="Q68" s="863"/>
    </row>
    <row r="69" spans="1:17" ht="27">
      <c r="A69" s="465" t="s">
        <v>844</v>
      </c>
      <c r="B69" s="76" t="s">
        <v>1826</v>
      </c>
      <c r="C69" s="466"/>
      <c r="D69" s="76" t="s">
        <v>862</v>
      </c>
      <c r="E69" s="76" t="s">
        <v>1826</v>
      </c>
      <c r="F69" s="76" t="s">
        <v>1826</v>
      </c>
      <c r="G69" s="76" t="s">
        <v>1828</v>
      </c>
      <c r="H69" s="1206"/>
      <c r="I69" s="1206"/>
      <c r="J69" s="865" t="s">
        <v>1848</v>
      </c>
      <c r="K69" s="866"/>
      <c r="L69" s="469"/>
      <c r="M69" s="467" t="str">
        <f>IF(OR(B69="",D69="",E69="",F69="",G69=""),"×","○")</f>
        <v>○</v>
      </c>
      <c r="N69" s="449" t="str">
        <f t="shared" si="1"/>
        <v>○</v>
      </c>
      <c r="P69" s="158"/>
      <c r="Q69" s="863"/>
    </row>
    <row r="70" spans="1:17" ht="27">
      <c r="A70" s="465" t="s">
        <v>845</v>
      </c>
      <c r="B70" s="76" t="s">
        <v>1826</v>
      </c>
      <c r="C70" s="466"/>
      <c r="D70" s="76" t="s">
        <v>862</v>
      </c>
      <c r="E70" s="76" t="s">
        <v>1826</v>
      </c>
      <c r="F70" s="76" t="s">
        <v>1826</v>
      </c>
      <c r="G70" s="76" t="s">
        <v>1828</v>
      </c>
      <c r="H70" s="1206"/>
      <c r="I70" s="1206"/>
      <c r="J70" s="865" t="s">
        <v>1848</v>
      </c>
      <c r="K70" s="866"/>
      <c r="L70" s="469"/>
      <c r="M70" s="467" t="str">
        <f>IF(OR(B70="",D70="",E70="",F70="",G70=""),"×","○")</f>
        <v>○</v>
      </c>
      <c r="N70" s="449" t="str">
        <f t="shared" si="1"/>
        <v>○</v>
      </c>
      <c r="P70" s="158"/>
      <c r="Q70" s="863"/>
    </row>
    <row r="71" spans="1:17" ht="27">
      <c r="A71" s="465" t="s">
        <v>846</v>
      </c>
      <c r="B71" s="76" t="s">
        <v>1826</v>
      </c>
      <c r="C71" s="466"/>
      <c r="D71" s="76" t="s">
        <v>862</v>
      </c>
      <c r="E71" s="76" t="s">
        <v>1826</v>
      </c>
      <c r="F71" s="76" t="s">
        <v>1826</v>
      </c>
      <c r="G71" s="76" t="s">
        <v>1828</v>
      </c>
      <c r="H71" s="1206"/>
      <c r="I71" s="1206"/>
      <c r="J71" s="865" t="s">
        <v>1848</v>
      </c>
      <c r="K71" s="866"/>
      <c r="L71" s="469"/>
      <c r="M71" s="467" t="str">
        <f>IF(OR(B71="",D71="",E71="",F71="",G71=""),"×","○")</f>
        <v>○</v>
      </c>
      <c r="N71" s="449" t="str">
        <f t="shared" si="1"/>
        <v>○</v>
      </c>
      <c r="P71" s="158"/>
      <c r="Q71" s="863"/>
    </row>
    <row r="72" spans="1:17" ht="27">
      <c r="A72" s="465" t="s">
        <v>847</v>
      </c>
      <c r="B72" s="76" t="s">
        <v>1825</v>
      </c>
      <c r="C72" s="76" t="s">
        <v>1825</v>
      </c>
      <c r="D72" s="76" t="s">
        <v>862</v>
      </c>
      <c r="E72" s="76" t="s">
        <v>1825</v>
      </c>
      <c r="F72" s="76" t="s">
        <v>1825</v>
      </c>
      <c r="G72" s="76" t="s">
        <v>1828</v>
      </c>
      <c r="H72" s="1207"/>
      <c r="I72" s="1207"/>
      <c r="J72" s="865" t="s">
        <v>1849</v>
      </c>
      <c r="K72" s="866"/>
      <c r="L72" s="470"/>
      <c r="M72" s="449" t="str">
        <f t="shared" si="0"/>
        <v>○</v>
      </c>
      <c r="N72" s="449" t="str">
        <f t="shared" si="1"/>
        <v>○</v>
      </c>
      <c r="P72" s="158"/>
      <c r="Q72" s="863"/>
    </row>
    <row r="73" spans="1:17">
      <c r="A73" s="460"/>
      <c r="B73" s="1330" t="s">
        <v>848</v>
      </c>
      <c r="C73" s="1331"/>
      <c r="D73" s="1331"/>
      <c r="E73" s="1331"/>
      <c r="F73" s="1332"/>
      <c r="G73" s="1333" t="s">
        <v>849</v>
      </c>
      <c r="H73" s="1336" t="s">
        <v>773</v>
      </c>
      <c r="I73" s="1337"/>
      <c r="J73" s="1336" t="s">
        <v>774</v>
      </c>
      <c r="K73" s="461" t="s">
        <v>775</v>
      </c>
      <c r="P73" s="158"/>
      <c r="Q73" s="863"/>
    </row>
    <row r="74" spans="1:17" ht="13.5" customHeight="1">
      <c r="A74" s="1339" t="s">
        <v>850</v>
      </c>
      <c r="B74" s="1333" t="s">
        <v>777</v>
      </c>
      <c r="C74" s="1330" t="s">
        <v>778</v>
      </c>
      <c r="D74" s="1331"/>
      <c r="E74" s="1332"/>
      <c r="F74" s="1333" t="s">
        <v>779</v>
      </c>
      <c r="G74" s="1334"/>
      <c r="H74" s="1339" t="s">
        <v>780</v>
      </c>
      <c r="I74" s="1339" t="s">
        <v>1735</v>
      </c>
      <c r="J74" s="1335"/>
      <c r="K74" s="462"/>
      <c r="P74" s="158"/>
      <c r="Q74" s="863"/>
    </row>
    <row r="75" spans="1:17" ht="57.75" customHeight="1">
      <c r="A75" s="1338"/>
      <c r="B75" s="1335"/>
      <c r="C75" s="463" t="s">
        <v>781</v>
      </c>
      <c r="D75" s="463" t="s">
        <v>782</v>
      </c>
      <c r="E75" s="463" t="s">
        <v>783</v>
      </c>
      <c r="F75" s="1335"/>
      <c r="G75" s="1335"/>
      <c r="H75" s="1338"/>
      <c r="I75" s="1338"/>
      <c r="J75" s="1338"/>
      <c r="K75" s="464" t="s">
        <v>784</v>
      </c>
      <c r="P75" s="158"/>
      <c r="Q75" s="863"/>
    </row>
    <row r="76" spans="1:17">
      <c r="A76" s="471" t="s">
        <v>851</v>
      </c>
      <c r="B76" s="76" t="s">
        <v>1825</v>
      </c>
      <c r="C76" s="76" t="s">
        <v>1825</v>
      </c>
      <c r="D76" s="76" t="s">
        <v>1825</v>
      </c>
      <c r="E76" s="76" t="s">
        <v>1825</v>
      </c>
      <c r="F76" s="76" t="s">
        <v>1825</v>
      </c>
      <c r="G76" s="76" t="s">
        <v>1828</v>
      </c>
      <c r="H76" s="466"/>
      <c r="I76" s="466"/>
      <c r="J76" s="865"/>
      <c r="K76" s="866"/>
      <c r="L76" s="469"/>
      <c r="M76" s="449" t="str">
        <f t="shared" si="0"/>
        <v>○</v>
      </c>
      <c r="N76" s="449" t="str">
        <f t="shared" si="1"/>
        <v>○</v>
      </c>
      <c r="P76" s="158"/>
      <c r="Q76" s="863"/>
    </row>
    <row r="77" spans="1:17">
      <c r="A77" s="471" t="s">
        <v>852</v>
      </c>
      <c r="B77" s="76" t="s">
        <v>1825</v>
      </c>
      <c r="C77" s="76" t="s">
        <v>1825</v>
      </c>
      <c r="D77" s="76" t="s">
        <v>1825</v>
      </c>
      <c r="E77" s="76" t="s">
        <v>1825</v>
      </c>
      <c r="F77" s="76" t="s">
        <v>1825</v>
      </c>
      <c r="G77" s="76" t="s">
        <v>1828</v>
      </c>
      <c r="H77" s="466"/>
      <c r="I77" s="466"/>
      <c r="J77" s="865"/>
      <c r="K77" s="866"/>
      <c r="L77" s="469"/>
      <c r="M77" s="449" t="str">
        <f t="shared" si="0"/>
        <v>○</v>
      </c>
      <c r="N77" s="449" t="str">
        <f t="shared" si="1"/>
        <v>○</v>
      </c>
      <c r="P77" s="158"/>
      <c r="Q77" s="863"/>
    </row>
    <row r="78" spans="1:17">
      <c r="A78" s="471" t="s">
        <v>853</v>
      </c>
      <c r="B78" s="76" t="s">
        <v>1825</v>
      </c>
      <c r="C78" s="76" t="s">
        <v>1825</v>
      </c>
      <c r="D78" s="76" t="s">
        <v>1825</v>
      </c>
      <c r="E78" s="76" t="s">
        <v>1825</v>
      </c>
      <c r="F78" s="76" t="s">
        <v>1825</v>
      </c>
      <c r="G78" s="76" t="s">
        <v>1828</v>
      </c>
      <c r="H78" s="466"/>
      <c r="I78" s="466"/>
      <c r="J78" s="865"/>
      <c r="K78" s="866"/>
      <c r="L78" s="469"/>
      <c r="M78" s="449" t="str">
        <f t="shared" si="0"/>
        <v>○</v>
      </c>
      <c r="N78" s="449" t="str">
        <f t="shared" si="1"/>
        <v>○</v>
      </c>
      <c r="P78" s="158"/>
      <c r="Q78" s="863"/>
    </row>
    <row r="79" spans="1:17">
      <c r="A79" s="471" t="s">
        <v>854</v>
      </c>
      <c r="B79" s="76" t="s">
        <v>1825</v>
      </c>
      <c r="C79" s="466"/>
      <c r="D79" s="76" t="s">
        <v>1825</v>
      </c>
      <c r="E79" s="76" t="s">
        <v>1825</v>
      </c>
      <c r="F79" s="76" t="s">
        <v>1825</v>
      </c>
      <c r="G79" s="76" t="s">
        <v>1828</v>
      </c>
      <c r="H79" s="466"/>
      <c r="I79" s="466"/>
      <c r="J79" s="865"/>
      <c r="K79" s="866"/>
      <c r="M79" s="467" t="str">
        <f>IF(OR(B79="",D79="",E79="",F79="",G79=""),"×","○")</f>
        <v>○</v>
      </c>
      <c r="N79" s="449" t="str">
        <f t="shared" si="1"/>
        <v>○</v>
      </c>
      <c r="P79" s="158"/>
      <c r="Q79" s="863"/>
    </row>
    <row r="80" spans="1:17">
      <c r="A80" s="471" t="s">
        <v>855</v>
      </c>
      <c r="B80" s="76" t="s">
        <v>1825</v>
      </c>
      <c r="C80" s="76" t="s">
        <v>1825</v>
      </c>
      <c r="D80" s="76" t="s">
        <v>1825</v>
      </c>
      <c r="E80" s="76" t="s">
        <v>1825</v>
      </c>
      <c r="F80" s="76" t="s">
        <v>1825</v>
      </c>
      <c r="G80" s="76" t="s">
        <v>1828</v>
      </c>
      <c r="H80" s="466"/>
      <c r="I80" s="466"/>
      <c r="J80" s="865"/>
      <c r="K80" s="866"/>
      <c r="M80" s="449" t="str">
        <f t="shared" si="0"/>
        <v>○</v>
      </c>
      <c r="N80" s="449" t="str">
        <f t="shared" si="1"/>
        <v>○</v>
      </c>
      <c r="P80" s="159"/>
      <c r="Q80" s="863"/>
    </row>
  </sheetData>
  <sheetProtection selectLockedCells="1"/>
  <mergeCells count="26">
    <mergeCell ref="A74:A75"/>
    <mergeCell ref="B74:B75"/>
    <mergeCell ref="C74:E74"/>
    <mergeCell ref="F74:F75"/>
    <mergeCell ref="H74:H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3:F73"/>
    <mergeCell ref="G73:G75"/>
    <mergeCell ref="H73:I73"/>
    <mergeCell ref="J73:J75"/>
    <mergeCell ref="I74:I75"/>
  </mergeCells>
  <phoneticPr fontId="70"/>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3"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topLeftCell="C1" zoomScaleNormal="100" zoomScaleSheetLayoutView="100" workbookViewId="0">
      <selection activeCell="Q19" sqref="Q19"/>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52" customWidth="1"/>
    <col min="17" max="17" width="87.625" style="332" customWidth="1"/>
  </cols>
  <sheetData>
    <row r="1" spans="1:17" ht="20.100000000000001" customHeight="1" thickBot="1">
      <c r="A1" s="1352" t="s">
        <v>1636</v>
      </c>
      <c r="B1" s="1352"/>
      <c r="C1" s="1352"/>
      <c r="D1" s="1352"/>
      <c r="E1" s="1352"/>
      <c r="F1" s="1352"/>
      <c r="G1" s="1352"/>
      <c r="H1" s="1352"/>
      <c r="I1" s="1352"/>
      <c r="J1" s="1352"/>
      <c r="K1" s="1352"/>
      <c r="P1" s="83"/>
      <c r="Q1" s="85"/>
    </row>
    <row r="2" spans="1:17" ht="24.95" customHeight="1" thickTop="1" thickBot="1">
      <c r="A2" s="448"/>
      <c r="B2" s="1324" t="s">
        <v>762</v>
      </c>
      <c r="C2" s="1324"/>
      <c r="D2" s="1324"/>
      <c r="E2" s="1324"/>
      <c r="F2" s="1324"/>
      <c r="G2" s="1324"/>
      <c r="H2" s="1324"/>
      <c r="I2" s="1324"/>
      <c r="J2" s="1343"/>
      <c r="K2" s="427" t="str">
        <f>IF(COUNTIF(N12:O16,"×")=0,"入力済","未入力あり")</f>
        <v>入力済</v>
      </c>
      <c r="L2" s="1353"/>
      <c r="M2" s="472"/>
      <c r="N2" s="472"/>
      <c r="O2" s="472"/>
      <c r="P2" s="83"/>
      <c r="Q2" s="85"/>
    </row>
    <row r="3" spans="1:17" ht="5.0999999999999996" customHeight="1" thickTop="1">
      <c r="A3" s="450"/>
      <c r="B3" s="450"/>
      <c r="C3" s="450"/>
      <c r="D3" s="450"/>
      <c r="E3" s="450"/>
      <c r="F3" s="450"/>
      <c r="G3" s="450"/>
      <c r="H3" s="450"/>
      <c r="I3" s="450"/>
      <c r="J3" s="450"/>
      <c r="K3" s="450"/>
      <c r="L3" s="1353"/>
      <c r="M3" s="472"/>
      <c r="N3" s="472"/>
      <c r="O3" s="472"/>
    </row>
    <row r="4" spans="1:17" ht="20.100000000000001" customHeight="1">
      <c r="A4" s="450"/>
      <c r="B4" s="450"/>
      <c r="C4" s="450"/>
      <c r="D4" s="450"/>
      <c r="E4" s="450"/>
      <c r="F4" s="453" t="s">
        <v>763</v>
      </c>
      <c r="G4" s="1344" t="str">
        <f>表紙!E2</f>
        <v>パナソニック健康保険組合　松下記念病院</v>
      </c>
      <c r="H4" s="1345"/>
      <c r="I4" s="1345"/>
      <c r="J4" s="1345"/>
      <c r="K4" s="1346"/>
      <c r="L4" s="1353"/>
      <c r="M4" s="472"/>
      <c r="N4" s="472"/>
      <c r="O4" s="472"/>
      <c r="P4" s="83"/>
    </row>
    <row r="5" spans="1:17" ht="19.5" customHeight="1">
      <c r="A5" s="450"/>
      <c r="B5" s="453"/>
      <c r="C5" s="453"/>
      <c r="D5" s="453"/>
      <c r="E5" s="1137"/>
      <c r="F5" s="1137" t="s">
        <v>1637</v>
      </c>
      <c r="G5" s="1138" t="str">
        <f>別紙1未充足要件!E5</f>
        <v>令和６年９月１日時点</v>
      </c>
      <c r="J5" s="454"/>
      <c r="K5" s="454"/>
      <c r="L5" s="1353"/>
      <c r="M5" s="472"/>
      <c r="N5" s="472"/>
      <c r="O5" s="472"/>
      <c r="P5" s="455"/>
      <c r="Q5" s="177" t="s">
        <v>234</v>
      </c>
    </row>
    <row r="6" spans="1:17" s="476" customFormat="1" ht="28.9" customHeight="1">
      <c r="A6" s="473"/>
      <c r="B6" s="474"/>
      <c r="C6" s="474"/>
      <c r="D6" s="474"/>
      <c r="E6" s="474"/>
      <c r="F6" s="474"/>
      <c r="G6" s="474"/>
      <c r="H6" s="474"/>
      <c r="I6" s="474"/>
      <c r="J6" s="474"/>
      <c r="K6" s="474"/>
      <c r="L6" s="1353"/>
      <c r="M6" s="472"/>
      <c r="N6" s="472"/>
      <c r="O6" s="472"/>
      <c r="P6" s="475"/>
      <c r="Q6" s="154"/>
    </row>
    <row r="7" spans="1:17" s="8" customFormat="1" ht="20.100000000000001" customHeight="1">
      <c r="A7" s="1132" t="s">
        <v>1634</v>
      </c>
      <c r="B7" s="1132"/>
      <c r="C7" s="1132"/>
      <c r="D7" s="1132"/>
      <c r="E7" s="477"/>
      <c r="F7" s="477"/>
      <c r="G7" s="477"/>
      <c r="H7" s="477"/>
      <c r="I7" s="477"/>
      <c r="J7" s="477"/>
      <c r="K7" s="477"/>
      <c r="P7" s="478"/>
      <c r="Q7" s="74"/>
    </row>
    <row r="8" spans="1:17" s="8" customFormat="1" ht="20.100000000000001" customHeight="1">
      <c r="A8" s="1133"/>
      <c r="B8" s="1133"/>
      <c r="C8" s="1134"/>
      <c r="D8" s="1134"/>
      <c r="E8" s="480"/>
      <c r="F8" s="479"/>
      <c r="G8" s="479"/>
      <c r="H8" s="479"/>
      <c r="I8" s="479"/>
      <c r="J8" s="479"/>
      <c r="K8" s="479"/>
      <c r="P8" s="478"/>
      <c r="Q8" s="74"/>
    </row>
    <row r="9" spans="1:17" s="8" customFormat="1" ht="33" customHeight="1">
      <c r="A9" s="1354" t="s">
        <v>1438</v>
      </c>
      <c r="B9" s="1362" t="s">
        <v>856</v>
      </c>
      <c r="C9" s="1363"/>
      <c r="D9" s="1363"/>
      <c r="E9" s="1364" t="s">
        <v>857</v>
      </c>
      <c r="F9" s="1365"/>
      <c r="G9" s="1365"/>
      <c r="H9" s="1365"/>
      <c r="I9" s="1365"/>
      <c r="J9" s="1365"/>
      <c r="K9" s="1365"/>
      <c r="L9" s="1366"/>
      <c r="M9" s="481"/>
      <c r="N9" s="482"/>
      <c r="O9" s="482"/>
      <c r="P9" s="51"/>
      <c r="Q9" s="154"/>
    </row>
    <row r="10" spans="1:17" s="8" customFormat="1" ht="22.5" customHeight="1">
      <c r="A10" s="1355"/>
      <c r="B10" s="1135" t="s">
        <v>858</v>
      </c>
      <c r="C10" s="1135" t="s">
        <v>859</v>
      </c>
      <c r="D10" s="1135" t="s">
        <v>860</v>
      </c>
      <c r="E10" s="1367"/>
      <c r="F10" s="1368"/>
      <c r="G10" s="1368"/>
      <c r="H10" s="1368"/>
      <c r="I10" s="1368"/>
      <c r="J10" s="1368"/>
      <c r="K10" s="1368"/>
      <c r="L10" s="1369"/>
      <c r="M10" s="481"/>
      <c r="N10" s="482"/>
      <c r="O10" s="482"/>
      <c r="P10" s="51"/>
      <c r="Q10" s="74"/>
    </row>
    <row r="11" spans="1:17" s="8" customFormat="1" ht="42" customHeight="1" thickBot="1">
      <c r="A11" s="1136" t="s">
        <v>1635</v>
      </c>
      <c r="B11" s="484" t="s">
        <v>861</v>
      </c>
      <c r="C11" s="484" t="s">
        <v>862</v>
      </c>
      <c r="D11" s="484" t="s">
        <v>861</v>
      </c>
      <c r="E11" s="1370" t="s">
        <v>1768</v>
      </c>
      <c r="F11" s="1370"/>
      <c r="G11" s="1370"/>
      <c r="H11" s="1370"/>
      <c r="I11" s="1370"/>
      <c r="J11" s="1370"/>
      <c r="K11" s="1370"/>
      <c r="L11" s="1370"/>
      <c r="M11" s="485"/>
      <c r="N11" s="486"/>
      <c r="O11" s="486"/>
      <c r="P11" s="51"/>
      <c r="Q11" s="74"/>
    </row>
    <row r="12" spans="1:17" s="8" customFormat="1" ht="42" customHeight="1" thickTop="1" thickBot="1">
      <c r="A12" s="487" t="s">
        <v>1382</v>
      </c>
      <c r="B12" s="64" t="s">
        <v>862</v>
      </c>
      <c r="C12" s="64" t="s">
        <v>862</v>
      </c>
      <c r="D12" s="64" t="s">
        <v>862</v>
      </c>
      <c r="E12" s="1359"/>
      <c r="F12" s="1360"/>
      <c r="G12" s="1360"/>
      <c r="H12" s="1360"/>
      <c r="I12" s="1360"/>
      <c r="J12" s="1360"/>
      <c r="K12" s="1360"/>
      <c r="L12" s="1361"/>
      <c r="M12" s="485"/>
      <c r="N12" s="488" t="str">
        <f>IF(COUNTBLANK(B12:D12)=0,"○","×")</f>
        <v>○</v>
      </c>
      <c r="O12" s="488" t="str">
        <f>IF(AND(COUNTIF(B12:D12,"×")&gt;=1,E12=""),"×","○")</f>
        <v>○</v>
      </c>
      <c r="P12" s="51"/>
      <c r="Q12" s="74"/>
    </row>
    <row r="13" spans="1:17" s="8" customFormat="1" ht="42" customHeight="1" thickBot="1">
      <c r="A13" s="489" t="s">
        <v>1384</v>
      </c>
      <c r="B13" s="55" t="s">
        <v>862</v>
      </c>
      <c r="C13" s="55" t="s">
        <v>862</v>
      </c>
      <c r="D13" s="55" t="s">
        <v>862</v>
      </c>
      <c r="E13" s="1356"/>
      <c r="F13" s="1357"/>
      <c r="G13" s="1357"/>
      <c r="H13" s="1357"/>
      <c r="I13" s="1357"/>
      <c r="J13" s="1357"/>
      <c r="K13" s="1357"/>
      <c r="L13" s="1358"/>
      <c r="M13" s="485"/>
      <c r="N13" s="488" t="str">
        <f t="shared" ref="N13:N18" si="0">IF(COUNTBLANK(B13:D13)=0,"○","×")</f>
        <v>○</v>
      </c>
      <c r="O13" s="488" t="str">
        <f t="shared" ref="O13:O19" si="1">IF(AND(COUNTIF(B13:D13,"×")&gt;=1,E13=""),"×","○")</f>
        <v>○</v>
      </c>
      <c r="P13" s="51"/>
      <c r="Q13" s="74"/>
    </row>
    <row r="14" spans="1:17" s="8" customFormat="1" ht="42" customHeight="1" thickBot="1">
      <c r="A14" s="490" t="s">
        <v>1380</v>
      </c>
      <c r="B14" s="55" t="s">
        <v>862</v>
      </c>
      <c r="C14" s="55" t="s">
        <v>862</v>
      </c>
      <c r="D14" s="55" t="s">
        <v>862</v>
      </c>
      <c r="E14" s="1356"/>
      <c r="F14" s="1357"/>
      <c r="G14" s="1357"/>
      <c r="H14" s="1357"/>
      <c r="I14" s="1357"/>
      <c r="J14" s="1357"/>
      <c r="K14" s="1357"/>
      <c r="L14" s="1358"/>
      <c r="M14" s="485"/>
      <c r="N14" s="488" t="str">
        <f t="shared" si="0"/>
        <v>○</v>
      </c>
      <c r="O14" s="488" t="str">
        <f t="shared" si="1"/>
        <v>○</v>
      </c>
      <c r="P14" s="51"/>
      <c r="Q14" s="74"/>
    </row>
    <row r="15" spans="1:17" s="8" customFormat="1" ht="42" customHeight="1" thickBot="1">
      <c r="A15" s="491" t="s">
        <v>1383</v>
      </c>
      <c r="B15" s="55" t="s">
        <v>862</v>
      </c>
      <c r="C15" s="55" t="s">
        <v>862</v>
      </c>
      <c r="D15" s="55" t="s">
        <v>862</v>
      </c>
      <c r="E15" s="1356"/>
      <c r="F15" s="1357"/>
      <c r="G15" s="1357"/>
      <c r="H15" s="1357"/>
      <c r="I15" s="1357"/>
      <c r="J15" s="1357"/>
      <c r="K15" s="1357"/>
      <c r="L15" s="1358"/>
      <c r="M15" s="485"/>
      <c r="N15" s="488" t="str">
        <f t="shared" si="0"/>
        <v>○</v>
      </c>
      <c r="O15" s="488" t="str">
        <f t="shared" si="1"/>
        <v>○</v>
      </c>
      <c r="P15" s="51"/>
      <c r="Q15" s="74"/>
    </row>
    <row r="16" spans="1:17" s="8" customFormat="1" ht="42" customHeight="1" thickBot="1">
      <c r="A16" s="491" t="s">
        <v>1385</v>
      </c>
      <c r="B16" s="55" t="s">
        <v>862</v>
      </c>
      <c r="C16" s="55" t="s">
        <v>862</v>
      </c>
      <c r="D16" s="55" t="s">
        <v>862</v>
      </c>
      <c r="E16" s="1356"/>
      <c r="F16" s="1357"/>
      <c r="G16" s="1357"/>
      <c r="H16" s="1357"/>
      <c r="I16" s="1357"/>
      <c r="J16" s="1357"/>
      <c r="K16" s="1357"/>
      <c r="L16" s="1358"/>
      <c r="M16" s="485"/>
      <c r="N16" s="488" t="str">
        <f t="shared" si="0"/>
        <v>○</v>
      </c>
      <c r="O16" s="488" t="str">
        <f t="shared" si="1"/>
        <v>○</v>
      </c>
      <c r="P16" s="51"/>
      <c r="Q16" s="74"/>
    </row>
    <row r="17" spans="1:17" s="8" customFormat="1" ht="42" customHeight="1" thickBot="1">
      <c r="A17" s="491" t="s">
        <v>1381</v>
      </c>
      <c r="B17" s="55" t="s">
        <v>862</v>
      </c>
      <c r="C17" s="55" t="s">
        <v>862</v>
      </c>
      <c r="D17" s="55" t="s">
        <v>862</v>
      </c>
      <c r="E17" s="1356"/>
      <c r="F17" s="1357"/>
      <c r="G17" s="1357"/>
      <c r="H17" s="1357"/>
      <c r="I17" s="1357"/>
      <c r="J17" s="1357"/>
      <c r="K17" s="1357"/>
      <c r="L17" s="1358"/>
      <c r="M17" s="485"/>
      <c r="N17" s="488" t="str">
        <f t="shared" si="0"/>
        <v>○</v>
      </c>
      <c r="O17" s="488" t="str">
        <f t="shared" si="1"/>
        <v>○</v>
      </c>
      <c r="P17" s="51"/>
      <c r="Q17" s="74"/>
    </row>
    <row r="18" spans="1:17" s="8" customFormat="1" ht="42" customHeight="1" thickBot="1">
      <c r="A18" s="491" t="s">
        <v>863</v>
      </c>
      <c r="B18" s="55" t="s">
        <v>862</v>
      </c>
      <c r="C18" s="55" t="s">
        <v>862</v>
      </c>
      <c r="D18" s="55" t="s">
        <v>862</v>
      </c>
      <c r="E18" s="1356"/>
      <c r="F18" s="1357"/>
      <c r="G18" s="1357"/>
      <c r="H18" s="1357"/>
      <c r="I18" s="1357"/>
      <c r="J18" s="1357"/>
      <c r="K18" s="1357"/>
      <c r="L18" s="1358"/>
      <c r="M18" s="485"/>
      <c r="N18" s="488" t="str">
        <f t="shared" si="0"/>
        <v>○</v>
      </c>
      <c r="O18" s="488" t="str">
        <f t="shared" si="1"/>
        <v>○</v>
      </c>
      <c r="P18" s="51"/>
      <c r="Q18" s="74"/>
    </row>
    <row r="19" spans="1:17" s="8" customFormat="1" ht="42" customHeight="1" thickBot="1">
      <c r="A19" s="491" t="s">
        <v>49</v>
      </c>
      <c r="B19" s="55" t="s">
        <v>862</v>
      </c>
      <c r="C19" s="55" t="s">
        <v>862</v>
      </c>
      <c r="D19" s="55" t="s">
        <v>862</v>
      </c>
      <c r="E19" s="1356"/>
      <c r="F19" s="1357"/>
      <c r="G19" s="1357"/>
      <c r="H19" s="1357"/>
      <c r="I19" s="1357"/>
      <c r="J19" s="1357"/>
      <c r="K19" s="1357"/>
      <c r="L19" s="1358"/>
      <c r="M19" s="485"/>
      <c r="N19" s="488" t="str">
        <f>IF(COUNTBLANK(B19:D19)=0,"○","×")</f>
        <v>○</v>
      </c>
      <c r="O19" s="488" t="str">
        <f t="shared" si="1"/>
        <v>○</v>
      </c>
      <c r="P19" s="51"/>
      <c r="Q19" s="151"/>
    </row>
    <row r="20" spans="1:17">
      <c r="F20" s="8"/>
      <c r="G20" s="149"/>
      <c r="H20" s="8"/>
      <c r="I20" s="149"/>
      <c r="J20" s="8"/>
      <c r="K20" s="149"/>
    </row>
    <row r="21" spans="1:17">
      <c r="F21" s="8"/>
      <c r="G21" s="149"/>
      <c r="H21" s="8"/>
      <c r="I21" s="149"/>
      <c r="J21" s="8"/>
      <c r="K21" s="149"/>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9"/>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3.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32</vt:i4>
      </vt:variant>
    </vt:vector>
  </HeadingPairs>
  <TitlesOfParts>
    <vt:vector size="6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yoshihiro harada</cp:lastModifiedBy>
  <cp:revision/>
  <cp:lastPrinted>2024-10-09T00:58:34Z</cp:lastPrinted>
  <dcterms:created xsi:type="dcterms:W3CDTF">2016-08-30T05:01:01Z</dcterms:created>
  <dcterms:modified xsi:type="dcterms:W3CDTF">2025-02-26T08:53:58Z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